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870" activeTab="4"/>
  </bookViews>
  <sheets>
    <sheet name="OUTPUT" sheetId="1" r:id="rId1"/>
    <sheet name="INPUT" sheetId="2" r:id="rId2"/>
    <sheet name="TariefInvoer" sheetId="3" state="hidden" r:id="rId3"/>
    <sheet name="Bereken OP|PP|WzP" sheetId="4" r:id="rId4"/>
    <sheet name="Bedrijf X" sheetId="5" r:id="rId5"/>
  </sheets>
  <externalReferences>
    <externalReference r:id="rId8"/>
    <externalReference r:id="rId9"/>
    <externalReference r:id="rId10"/>
    <externalReference r:id="rId11"/>
  </externalReferences>
  <definedNames>
    <definedName name="_xlfn.FLOOR.PRECISE" hidden="1">#NAME?</definedName>
    <definedName name="input_aantal_kinderen" localSheetId="4">'[3]INPUT'!#REF!</definedName>
    <definedName name="input_aantal_kinderen">'INPUT'!$AB$2</definedName>
    <definedName name="input_achternaam">'INPUT'!$C$2</definedName>
    <definedName name="input_bedrijfsnaam">'INPUT'!#REF!</definedName>
    <definedName name="input_bepaalde_partner">'INPUT'!$AF$2</definedName>
    <definedName name="input_BSN" localSheetId="4">'[3]INPUT'!$AB$2</definedName>
    <definedName name="input_BSN">'INPUT'!$F$2</definedName>
    <definedName name="input_burgerlijkestaat">'INPUT'!$S$2</definedName>
    <definedName name="input_datum_in_dienst" localSheetId="4">'[3]INPUT'!$AD$2</definedName>
    <definedName name="input_datum_in_dienst">'INPUT'!$H$2</definedName>
    <definedName name="input_deelname_nabestaandenpensioen" localSheetId="4">'[3]INPUT'!#REF!</definedName>
    <definedName name="input_deelname_nabestaandenpensioen">'INPUT'!#REF!</definedName>
    <definedName name="input_deelname_pensioenregeling_1" localSheetId="4">'[3]INPUT'!#REF!</definedName>
    <definedName name="input_deelname_pensioenregeling_1">'INPUT'!#REF!</definedName>
    <definedName name="input_deelname_pensioenregeling_2" localSheetId="4">'[3]INPUT'!#REF!</definedName>
    <definedName name="input_deelname_pensioenregeling_2">'INPUT'!#REF!</definedName>
    <definedName name="input_deelname_pensioenregeling_3" localSheetId="4">'[3]INPUT'!#REF!</definedName>
    <definedName name="input_deelname_pensioenregeling_3">'INPUT'!#REF!</definedName>
    <definedName name="input_eb_perc_pg">'INPUT'!$AC$2</definedName>
    <definedName name="input_franchise" localSheetId="4">'[3]INPUT'!$AY$2</definedName>
    <definedName name="input_franchise">'INPUT'!$AH$2</definedName>
    <definedName name="input_franchise_np" localSheetId="4">'[3]INPUT'!$AZ$2</definedName>
    <definedName name="input_franchise_np">'INPUT'!$AI$2</definedName>
    <definedName name="input_fulltime_salaris" localSheetId="4">'[3]INPUT'!$AH$2</definedName>
    <definedName name="input_fulltime_salaris">'INPUT'!$N$2</definedName>
    <definedName name="input_geboortedatum" localSheetId="4">'[3]INPUT'!$S$2</definedName>
    <definedName name="input_geboortedatum">'INPUT'!$E$2</definedName>
    <definedName name="input_geboortedatum_partner">'INPUT'!$Z$2</definedName>
    <definedName name="input_geslacht" localSheetId="4">'[3]INPUT'!$R$2</definedName>
    <definedName name="input_geslacht">'INPUT'!$D$2</definedName>
    <definedName name="input_geslacht_partner">'INPUT'!$Y$2</definedName>
    <definedName name="input_gewogen_parttime_percentage">'INPUT'!$M$2</definedName>
    <definedName name="input_ingangsdatum">'INPUT'!$I$2</definedName>
    <definedName name="input_max_pensioensalaris">'INPUT'!$AQ$2</definedName>
    <definedName name="input_max_pensioensalaris_np">'INPUT'!$AR$2</definedName>
    <definedName name="input_ml_aanspraak_np">'INPUT'!$AO$2</definedName>
    <definedName name="input_ml_aanspraak_op">'INPUT'!$AN$2</definedName>
    <definedName name="input_ml_aanspraak_wzp">'INPUT'!$AP$2</definedName>
    <definedName name="input_np_perc_per_dj">'INPUT'!$AE$2</definedName>
    <definedName name="input_op_perc_per_dj">'INPUT'!$AD$2</definedName>
    <definedName name="input_parttime_percentage" localSheetId="4">'[3]INPUT'!$AG$2</definedName>
    <definedName name="input_parttime_percentage">'INPUT'!$L$2</definedName>
    <definedName name="input_pensioengevend_salaris" localSheetId="4">'[3]INPUT'!$BA$2</definedName>
    <definedName name="input_pensioengevend_salaris">'INPUT'!$AJ$2</definedName>
    <definedName name="input_pensioengrondslag">'INPUT'!$AK$2</definedName>
    <definedName name="input_pensioenleeftijd">'INPUT'!$AM$2</definedName>
    <definedName name="input_periodesalaris">'INPUT'!$K$2</definedName>
    <definedName name="input_waardeoverdracht" localSheetId="4">'[4]INPUT'!$O$2</definedName>
    <definedName name="input_waardeoverdracht">'[2]INPUT'!$O$2</definedName>
    <definedName name="input_wijzigingsdatum">'INPUT'!$AG$2</definedName>
    <definedName name="lijstToegestaneTarieven">'[1]Parameters'!$B$14:$B$30</definedName>
    <definedName name="lstFin">'[1]Hoofdblad'!$M$1:$M$5</definedName>
    <definedName name="output_franchise">'OUTPUT'!$B$2</definedName>
    <definedName name="output_franchise_np">'OUTPUT'!$C$2</definedName>
    <definedName name="output_franchise_op">'OUTPUT'!$B$2</definedName>
    <definedName name="output_gewogen_parttime_perc">'OUTPUT'!$S$2</definedName>
    <definedName name="output_partnerpensioen">'OUTPUT'!$H$2</definedName>
    <definedName name="output_partnerpensioen_kapitaal">'OUTPUT'!$G$2</definedName>
    <definedName name="output_pensioen">'OUTPUT'!$F$2</definedName>
    <definedName name="output_pensioen_grondslag">'OUTPUT'!$D$2</definedName>
    <definedName name="output_pensioen_kapitaal">'OUTPUT'!$E$2</definedName>
    <definedName name="output_pensioengevend_jaarsalaris">'OUTPUT'!$A$2</definedName>
    <definedName name="output_premie_pj_np" localSheetId="4">'[3]OUTPUT'!$M$2</definedName>
    <definedName name="output_premie_pj_np">'OUTPUT'!$M$2</definedName>
    <definedName name="output_premie_pj_op">'OUTPUT'!$J$2</definedName>
    <definedName name="output_premie_pj_wzp" localSheetId="4">'[3]OUTPUT'!$P$2</definedName>
    <definedName name="output_premie_pj_wzp">'OUTPUT'!$P$2</definedName>
    <definedName name="output_premie_wg_np">'OUTPUT'!$N$2</definedName>
    <definedName name="output_premie_wg_op">'OUTPUT'!$K$2</definedName>
    <definedName name="output_premie_wg_wzp">'OUTPUT'!$Q$2</definedName>
    <definedName name="output_premie_wn_np">'OUTPUT'!$O$2</definedName>
    <definedName name="output_premie_wn_op">'OUTPUT'!$L$2</definedName>
    <definedName name="output_premie_wn_wzp">'OUTPUT'!$R$2</definedName>
    <definedName name="output_wezenpensioen">'OUTPUT'!$I$2</definedName>
    <definedName name="vtProduct">'[1]Hoofdblad'!$C$5</definedName>
    <definedName name="wbANWmethode">'TariefInvoer'!$C$27</definedName>
    <definedName name="wbANWSoort">'TariefInvoer'!$C$26</definedName>
    <definedName name="wbANWStijg">'TariefInvoer'!$C$28</definedName>
    <definedName name="wbANWTar">'TariefInvoer'!$F$30</definedName>
    <definedName name="wbANWTar_input">'TariefInvoer'!$C$29</definedName>
    <definedName name="wbAOPf_dekking">'TariefInvoer'!$F$24</definedName>
    <definedName name="wbAOPf_doelgroep">'TariefInvoer'!$F$23</definedName>
    <definedName name="wbAOPSoort">'TariefInvoer'!$C$25</definedName>
    <definedName name="wbAppNaam">'TariefInvoer'!$B$5</definedName>
    <definedName name="wbAutoInc">'TariefInvoer'!$F$21</definedName>
    <definedName name="wbEDU_ANW">'TariefInvoer'!$F$31</definedName>
    <definedName name="wbEDU_AOP">'TariefInvoer'!$F$32</definedName>
    <definedName name="wbFin">'TariefInvoer'!$C$8</definedName>
    <definedName name="wbIngangsdatum">'TariefInvoer'!$C$15</definedName>
    <definedName name="wbKAPsoort">'TariefInvoer'!$C$31</definedName>
    <definedName name="wbKlantnaam">'TariefInvoer'!$C$9</definedName>
    <definedName name="wbKlantnummer">'TariefInvoer'!$C$10</definedName>
    <definedName name="wbMutDat">'TariefInvoer'!$C$13</definedName>
    <definedName name="wbOpslag_Adm">'TariefInvoer'!$F$14</definedName>
    <definedName name="wbOpslag_afw">'TariefInvoer'!$F$26</definedName>
    <definedName name="wbOpslag_Exc">'TariefInvoer'!$F$12</definedName>
    <definedName name="wbOpslag_facultatief">'TariefInvoer'!$F$27</definedName>
    <definedName name="wbOpslag_IFRS">'TariefInvoer'!$F$18</definedName>
    <definedName name="wbOpslag_IFRSUWO">'TariefInvoer'!$F$19</definedName>
    <definedName name="wbOpslag_Incasso">'TariefInvoer'!$G$21</definedName>
    <definedName name="wbOpslag_KRG">'TariefInvoer'!$F$17</definedName>
    <definedName name="wbOpslag_KVB">'TariefInvoer'!$F$16</definedName>
    <definedName name="wbOpslag_Termijn">'TariefInvoer'!$F$13</definedName>
    <definedName name="wbOpslag_Terr">'TariefInvoer'!$F$15</definedName>
    <definedName name="wbOpslag_Uitk">'TariefInvoer'!$F$11</definedName>
    <definedName name="wbOpslag_Uitloop">'TariefInvoer'!$F$22</definedName>
    <definedName name="wbOpslag_WMK">'TariefInvoer'!$F$28</definedName>
    <definedName name="wbOpslag_WOV">'TariefInvoer'!$F$20</definedName>
    <definedName name="wbOpslag_WW">'TariefInvoer'!$F$29</definedName>
    <definedName name="wbOPSoort">'TariefInvoer'!$C$18</definedName>
    <definedName name="wbPensLft">'TariefInvoer'!$C$14</definedName>
    <definedName name="wbPPSoort">'TariefInvoer'!$C$20</definedName>
    <definedName name="wbPPStijg">'TariefInvoer'!$C$21</definedName>
    <definedName name="wbPPStijgDuur">'TariefInvoer'!$C$22</definedName>
    <definedName name="wbPremietermijn">'TariefInvoer'!$C$16</definedName>
    <definedName name="wbProduct">'TariefInvoer'!$C$7</definedName>
    <definedName name="wbRR">'TariefInvoer'!$C$12</definedName>
    <definedName name="wbTar">'TariefInvoer'!$C$11</definedName>
    <definedName name="wbWZP_Elft">'TariefInvoer'!$C$23</definedName>
  </definedNames>
  <calcPr fullCalcOnLoad="1"/>
</workbook>
</file>

<file path=xl/comments3.xml><?xml version="1.0" encoding="utf-8"?>
<comments xmlns="http://schemas.openxmlformats.org/spreadsheetml/2006/main">
  <authors>
    <author>AVWPOOL1-AVW</author>
  </authors>
  <commentList>
    <comment ref="E11" authorId="0">
      <text>
        <r>
          <rPr>
            <sz val="9"/>
            <rFont val="Tahoma"/>
            <family val="2"/>
          </rPr>
          <t>Deze opslag benadert de aanpassing van continue uitkeringswijze naar de uitkeringswijze zoals specifiek in het contract is overeengekomen (bv maandelijke uitkering tot en met 1e van de maand na overlijden verzekerde)
Deze opslag kan per toezegging (voor OP anders dan voor NP) en status (voor niet ingegaan NP anders dan voor ingegaan NP) verschillen</t>
        </r>
      </text>
    </comment>
    <comment ref="E12" authorId="0">
      <text>
        <r>
          <rPr>
            <sz val="9"/>
            <rFont val="Tahoma"/>
            <family val="2"/>
          </rPr>
          <t>Opslag waarmee de feitelijke uitbetaling van de pensioenen wordt gefinancierd</t>
        </r>
      </text>
    </comment>
    <comment ref="E14" authorId="0">
      <text>
        <r>
          <rPr>
            <sz val="9"/>
            <rFont val="Tahoma"/>
            <family val="2"/>
          </rPr>
          <t>Deze opslag is bestemd om de door NN te maken administratiekosten te kunnen financieren en wordt in verslaglegging toegevoegd aan de rekening ‘beschikbaar voor kosten’. Voor de volledigheid: de mogelijk te verlenen omvangskorting en andere commerciële kortingen worden aan de ‘beschikbare kosten’ onttrokken</t>
        </r>
      </text>
    </comment>
    <comment ref="E15" authorId="0">
      <text>
        <r>
          <rPr>
            <sz val="9"/>
            <rFont val="Tahoma"/>
            <family val="2"/>
          </rPr>
          <t>Opslag waarmee de herverzekeringspremie ten behoeve van de Nederlandse Herverzekeringsmaatschappij voor Terrorismeschaden (NHT) betaald kan worden. Deze baten worden door de relatie betaald en doorgegeven naar de NHT</t>
        </r>
      </text>
    </comment>
    <comment ref="E16" authorId="0">
      <text>
        <r>
          <rPr>
            <sz val="9"/>
            <rFont val="Tahoma"/>
            <family val="2"/>
          </rPr>
          <t>Deze Kosten Vermogens Beslag is een vergoeding voor NN omdat door regels van DNB wij aan het stukje verzekeringsrisico dat NN loopt een deel van het eigen vermogen als solvabiliteit moeten koppelen dat slechts onder stringente voorwaarden belegd mag worden. Hierdoor loopt NN (lees: aandeelhouders) beleggingsopbrengst mis</t>
        </r>
      </text>
    </comment>
    <comment ref="E17" authorId="0">
      <text>
        <r>
          <rPr>
            <sz val="9"/>
            <rFont val="Tahoma"/>
            <family val="2"/>
          </rPr>
          <t>Deze Kosten Rente Garantie is een risicopremie die ervoor dient om het risico van NN af te dekken indien de marktrente onder de gegarandeerde rekenrente duikt</t>
        </r>
      </text>
    </comment>
    <comment ref="E18" authorId="0">
      <text>
        <r>
          <rPr>
            <sz val="9"/>
            <rFont val="Tahoma"/>
            <family val="2"/>
          </rPr>
          <t xml:space="preserve">Dit betreft een opslag waarmee het risico wordt afgedekt dat het overrentesaldo niet toereikend is om de kosten vermogensbeslag, de kosten rentegarantie en de beheerskosten te financieren. Dit is één van de voorwaarden waar een contract aan moet voldoen om de kwalificatie IFRS-proof te krijgen.
Deze opslag wordt ook toegevoegd aan de rekening ‘beschikbaar voor kosten’
</t>
        </r>
      </text>
    </comment>
    <comment ref="E19" authorId="0">
      <text>
        <r>
          <rPr>
            <sz val="9"/>
            <rFont val="Tahoma"/>
            <family val="2"/>
          </rPr>
          <t xml:space="preserve">Dit betreft een opslag waarmee het risico wordt afgedekt dat bij uitgaande waardeoverdrachten aanvullende betalingen van of naar de voormalige werkgever moeten plaats vinden. Dit is één van de voorwaarden waar een contract aan moet voldoen om de kwalificatie IFRS-proof te krijgen.
Deze opslag wordt ook toegevoegd aan de rekening ‘beschikbaar voor kosten’.
N.B. Als er sprake is van een WOV-dekking dan wordt deze opslag op 0 gezet.
</t>
        </r>
      </text>
    </comment>
    <comment ref="E20" authorId="0">
      <text>
        <r>
          <rPr>
            <sz val="9"/>
            <rFont val="Tahoma"/>
            <family val="2"/>
          </rPr>
          <t>Dit betreft een opslag waarmee het risico wordt afgedekt dat een werkgever bij inkomende of uitgaande waardeoverdracht een aanvullende koopsom moet betalen. Relatie kan er voor kiezen dit risico al of niet af te dekken</t>
        </r>
      </text>
    </comment>
    <comment ref="E21" authorId="0">
      <text>
        <r>
          <rPr>
            <sz val="9"/>
            <rFont val="Tahoma"/>
            <family val="2"/>
          </rPr>
          <t>Deze opslag is bedoeld voor klanten die niet hebben gekozen voor automatische incasso. Als de klant wel voor automatische incasso heeft gekozen, bedraagt deze opslag altijd nul</t>
        </r>
      </text>
    </comment>
    <comment ref="E22" authorId="0">
      <text>
        <r>
          <rPr>
            <sz val="9"/>
            <rFont val="Tahoma"/>
            <family val="2"/>
          </rPr>
          <t>Met deze opslag wordt het overlijdensrisico gedekt in geval van financiering tegen risicokoopsom voor TNP- en ANW-dekkingen nadat de verzekerde de eindleeftijd heeft bereikt, maar de verzorgde nog niet</t>
        </r>
      </text>
    </comment>
    <comment ref="E23" authorId="0">
      <text>
        <r>
          <rPr>
            <sz val="9"/>
            <rFont val="Tahoma"/>
            <family val="2"/>
          </rPr>
          <t xml:space="preserve">Deze opslag wordt gevraagd ter compensatie van het feit dat volgens de Wet Medische Keuring geen medische waarborgen mogen worden gevraagd voor deelnemers in een collectieve regeling. Daardoor is het mogelijk dat, met name bij kleine contracten, anti-selectie optreedt. De WMK_opslag wordt alleen gevraagd als een contract niet het vereiste minimum aantal deelnemers heeft en alleen voor toezeggingen met een aanvullend karakter, zoals AOP- en ANW-dekkingen. </t>
        </r>
      </text>
    </comment>
    <comment ref="E24" authorId="0">
      <text>
        <r>
          <rPr>
            <sz val="9"/>
            <rFont val="Tahoma"/>
            <family val="2"/>
          </rPr>
          <t xml:space="preserve">Deze opslag wordt gevraagd ter compensatie van het feit dat volgens de Wet Medische Keuring geen medische waarborgen mogen worden gevraagd voor deelnemers in een collectieve regeling. Daardoor is het mogelijk dat, met name bij kleine contracten, anti-selectie optreedt. De WMK_opslag wordt alleen gevraagd als een contract niet het vereiste minimum aantal deelnemers heeft en alleen voor toezeggingen met een aanvullend karakter, zoals AOP- en ANW-dekkingen. </t>
        </r>
      </text>
    </comment>
    <comment ref="B31" authorId="0">
      <text>
        <r>
          <rPr>
            <b/>
            <sz val="9"/>
            <rFont val="Tahoma"/>
            <family val="2"/>
          </rPr>
          <t>Kapitaal:</t>
        </r>
        <r>
          <rPr>
            <sz val="9"/>
            <rFont val="Tahoma"/>
            <family val="2"/>
          </rPr>
          <t xml:space="preserve">
Financiering altijd basis netto</t>
        </r>
      </text>
    </comment>
  </commentList>
</comments>
</file>

<file path=xl/sharedStrings.xml><?xml version="1.0" encoding="utf-8"?>
<sst xmlns="http://schemas.openxmlformats.org/spreadsheetml/2006/main" count="225" uniqueCount="190">
  <si>
    <t>Klantnaam</t>
  </si>
  <si>
    <t>MAANDELIJKS</t>
  </si>
  <si>
    <t>Burgerservicenummer_partner</t>
  </si>
  <si>
    <t>NP Premie werkgever</t>
  </si>
  <si>
    <t>OP</t>
  </si>
  <si>
    <t>OP premie werknemer</t>
  </si>
  <si>
    <t>l170904</t>
  </si>
  <si>
    <t>COLL2013</t>
  </si>
  <si>
    <t>Automatisch Incasso?</t>
  </si>
  <si>
    <t>Wijzigingsdatum</t>
  </si>
  <si>
    <t>Opslag WMK</t>
  </si>
  <si>
    <t>Naam</t>
  </si>
  <si>
    <t>Achternaam</t>
  </si>
  <si>
    <t>Einddatum uitkering ANW</t>
  </si>
  <si>
    <t/>
  </si>
  <si>
    <t>Voorletters_partner</t>
  </si>
  <si>
    <t>KAPITAAL op 1 Leven</t>
  </si>
  <si>
    <t>JA</t>
  </si>
  <si>
    <t>aantal jaren tussen peildatum en PD</t>
  </si>
  <si>
    <t>Werknemertype</t>
  </si>
  <si>
    <t>partnerpensioen kapitaal</t>
  </si>
  <si>
    <t>Achternaam_partner</t>
  </si>
  <si>
    <t>Tarief t.b.v.</t>
  </si>
  <si>
    <t>Duur Stijging</t>
  </si>
  <si>
    <t>28-03-2014, 15:12:03</t>
  </si>
  <si>
    <t>Datum_uit_dienst</t>
  </si>
  <si>
    <t>Datum</t>
  </si>
  <si>
    <t>IFRS_kosten</t>
  </si>
  <si>
    <t>Wezenpensioen</t>
  </si>
  <si>
    <t xml:space="preserve">1e vd mnd  waarin 67 of indien eerder AOW-lft partner </t>
  </si>
  <si>
    <t>Tussenvoegsel_partner</t>
  </si>
  <si>
    <t>OP Jaarpremie</t>
  </si>
  <si>
    <t>Toegestane tarieven</t>
  </si>
  <si>
    <t>Dossier:</t>
  </si>
  <si>
    <t>Burgerlijkestaat</t>
  </si>
  <si>
    <t>Premietermijn</t>
  </si>
  <si>
    <t>NVT</t>
  </si>
  <si>
    <t>Relatie_startdatum</t>
  </si>
  <si>
    <t>Nakijker</t>
  </si>
  <si>
    <t>Stijging</t>
  </si>
  <si>
    <t>Einddatum uitkering AOP</t>
  </si>
  <si>
    <t>Datum_in_dienst</t>
  </si>
  <si>
    <t>GEBASEERD OP AOW</t>
  </si>
  <si>
    <t>COLL2011</t>
  </si>
  <si>
    <t>Tussenvoegsel</t>
  </si>
  <si>
    <t>OP_1_Waardeoverdracht</t>
  </si>
  <si>
    <t>Excasso</t>
  </si>
  <si>
    <t>PD</t>
  </si>
  <si>
    <t>Aantal_kinderen</t>
  </si>
  <si>
    <t>partnerpensioen</t>
  </si>
  <si>
    <t>ANW premie methode</t>
  </si>
  <si>
    <t>Tarief</t>
  </si>
  <si>
    <t>Tarief ANW</t>
  </si>
  <si>
    <t>KRG als % vd premie</t>
  </si>
  <si>
    <t>Pensioengevend_Salaris</t>
  </si>
  <si>
    <t>WzP premie werknemer</t>
  </si>
  <si>
    <t>Uitkeringswijze</t>
  </si>
  <si>
    <t>Rekente</t>
  </si>
  <si>
    <t>Relatie_einddatum</t>
  </si>
  <si>
    <t>Voorletters</t>
  </si>
  <si>
    <t>Franchise</t>
  </si>
  <si>
    <t>Peildatum</t>
  </si>
  <si>
    <t>Franchise NP</t>
  </si>
  <si>
    <t>%</t>
  </si>
  <si>
    <t>NNCP Tariefaanvraag D01.35</t>
  </si>
  <si>
    <t xml:space="preserve">1e vd maand </t>
  </si>
  <si>
    <t>Ingangsdatum</t>
  </si>
  <si>
    <t>k561505</t>
  </si>
  <si>
    <t>Opslag ANW-facultatief</t>
  </si>
  <si>
    <t>OP Premie werkgever</t>
  </si>
  <si>
    <t>RISICO(BEP)</t>
  </si>
  <si>
    <t>Comfortpensioen</t>
  </si>
  <si>
    <t>P lft</t>
  </si>
  <si>
    <t>+1: Tariefstaten</t>
  </si>
  <si>
    <t>Geboortedatum_partner</t>
  </si>
  <si>
    <t>AOP</t>
  </si>
  <si>
    <t>Opslag WW</t>
  </si>
  <si>
    <t>Parttime_percentage</t>
  </si>
  <si>
    <t>WzP Jaarpremie</t>
  </si>
  <si>
    <t>Opslagen</t>
  </si>
  <si>
    <t>Pensioengrondslag</t>
  </si>
  <si>
    <t>Bonus</t>
  </si>
  <si>
    <t>Uitloop TPP</t>
  </si>
  <si>
    <t>Maker</t>
  </si>
  <si>
    <t>KVB als % vd premie</t>
  </si>
  <si>
    <t>Eindleeftijd WZP</t>
  </si>
  <si>
    <t>Doc.type:</t>
  </si>
  <si>
    <t>Termijnopsl.</t>
  </si>
  <si>
    <t>Geslacht</t>
  </si>
  <si>
    <t>Geslacht_partner</t>
  </si>
  <si>
    <t>AOP-Factor-dekkingsklasse</t>
  </si>
  <si>
    <t>1e VAN DE MAAND</t>
  </si>
  <si>
    <t>Fulltime_salaris</t>
  </si>
  <si>
    <t>PG</t>
  </si>
  <si>
    <t>Ouderdomspensioen</t>
  </si>
  <si>
    <t>Aanspraken verleden</t>
  </si>
  <si>
    <t>165473 incl ANW</t>
  </si>
  <si>
    <t>NP premie werknemer</t>
  </si>
  <si>
    <t>Pensioenleeftijd</t>
  </si>
  <si>
    <t>Rekendatum</t>
  </si>
  <si>
    <t>Tariefstaten</t>
  </si>
  <si>
    <t>Werkgever</t>
  </si>
  <si>
    <t>Bonus_voor_pensioen</t>
  </si>
  <si>
    <t>28-03-2014, 15:14:25</t>
  </si>
  <si>
    <t>COLL2003</t>
  </si>
  <si>
    <t>VRIJWILLIG</t>
  </si>
  <si>
    <t>IFRS_UWO</t>
  </si>
  <si>
    <t>NP Jaarpremie</t>
  </si>
  <si>
    <t>WzP Premie werkgever</t>
  </si>
  <si>
    <t>Product</t>
  </si>
  <si>
    <t>Burgerservicenummer</t>
  </si>
  <si>
    <t>Bonus_jaar</t>
  </si>
  <si>
    <t>Geboortedatum werknemer</t>
  </si>
  <si>
    <t>Gewogen parttime %</t>
  </si>
  <si>
    <t>ANW</t>
  </si>
  <si>
    <t>Opbouw per jaar</t>
  </si>
  <si>
    <t>WOV</t>
  </si>
  <si>
    <t>afronden naar beneden</t>
  </si>
  <si>
    <t>CliniClowns met anw facultatief</t>
  </si>
  <si>
    <t>Terrorisme</t>
  </si>
  <si>
    <t>Salaris</t>
  </si>
  <si>
    <t>Franchise_NP</t>
  </si>
  <si>
    <t>AOP-Factor-doelgroep</t>
  </si>
  <si>
    <t>Administratie excl. Incasso opslag</t>
  </si>
  <si>
    <t>Werkelijk_jaarloon</t>
  </si>
  <si>
    <t>Opbouw %</t>
  </si>
  <si>
    <t>Opslag afwijkend</t>
  </si>
  <si>
    <t>pensioen kapitaal</t>
  </si>
  <si>
    <t>Geboortedatum</t>
  </si>
  <si>
    <t>Franchise OP</t>
  </si>
  <si>
    <t>Offerte- of contractnummer</t>
  </si>
  <si>
    <t>COLL2009</t>
  </si>
  <si>
    <t>NEE</t>
  </si>
  <si>
    <t>PP/WZP</t>
  </si>
  <si>
    <t>Periodesalaris</t>
  </si>
  <si>
    <t>18/27</t>
  </si>
  <si>
    <t>Leeftijd (vandaag)</t>
  </si>
  <si>
    <t>Totaal OP</t>
  </si>
  <si>
    <t>Totaal NP</t>
  </si>
  <si>
    <t>Totaal WzP</t>
  </si>
  <si>
    <t>Burgerlijke staat</t>
  </si>
  <si>
    <t>NP van toepassing</t>
  </si>
  <si>
    <t>Berekening eigen bijdrage</t>
  </si>
  <si>
    <t>maximum salaris voor eigen bijdrage:</t>
  </si>
  <si>
    <t>grondslag eigen bijdrage</t>
  </si>
  <si>
    <t>eigen bijdrage per jaar</t>
  </si>
  <si>
    <t>DJ x opb%</t>
  </si>
  <si>
    <t>FT pens.</t>
  </si>
  <si>
    <t>gevend sal</t>
  </si>
  <si>
    <t>Premie werkgever OP</t>
  </si>
  <si>
    <t>Test</t>
  </si>
  <si>
    <t>Man</t>
  </si>
  <si>
    <t>input_max_pensioensalaris_np</t>
  </si>
  <si>
    <t>gewogen_parttime_percentage</t>
  </si>
  <si>
    <t>ml_aanspraak_op</t>
  </si>
  <si>
    <t>ml_aanspraak_np</t>
  </si>
  <si>
    <t>ml_aanspraak_wzp</t>
  </si>
  <si>
    <t>max_pensioensalaris</t>
  </si>
  <si>
    <t>Gehuwd</t>
  </si>
  <si>
    <t>NP percentage (INPUT)</t>
  </si>
  <si>
    <t>Premie/stortingskoopsom</t>
  </si>
  <si>
    <t>NP</t>
  </si>
  <si>
    <t>WzP</t>
  </si>
  <si>
    <t>Vrouw</t>
  </si>
  <si>
    <t>max.OP</t>
  </si>
  <si>
    <t>max NP</t>
  </si>
  <si>
    <t>leeftijd</t>
  </si>
  <si>
    <t>duur tot pensioendatum</t>
  </si>
  <si>
    <t>mannen</t>
  </si>
  <si>
    <t>vrouwen</t>
  </si>
  <si>
    <t>jr</t>
  </si>
  <si>
    <t>mnd</t>
  </si>
  <si>
    <t>ouderdomspensioen</t>
  </si>
  <si>
    <t>wezenpensioen</t>
  </si>
  <si>
    <t>min leeftijd</t>
  </si>
  <si>
    <t>max leeftijd</t>
  </si>
  <si>
    <t>OP premie min</t>
  </si>
  <si>
    <t>OP premie max</t>
  </si>
  <si>
    <t>OP premie geinterpoleerd</t>
  </si>
  <si>
    <t>NP premie min</t>
  </si>
  <si>
    <t>NP premie max</t>
  </si>
  <si>
    <t>NP premie geinterpoleerd</t>
  </si>
  <si>
    <t>WzP premie min</t>
  </si>
  <si>
    <t>WzP premie max</t>
  </si>
  <si>
    <t>WzP premie geinterpoleerd</t>
  </si>
  <si>
    <t>eigen_bijdrage_%pg</t>
  </si>
  <si>
    <t>OP_opb_percentage</t>
  </si>
  <si>
    <t>NP_opbouw_perc</t>
  </si>
  <si>
    <t>bepaalde_onbep_partner</t>
  </si>
  <si>
    <t>bepaald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</si>
</sst>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
    <numFmt numFmtId="166" formatCode="0.000000"/>
    <numFmt numFmtId="167" formatCode="0.0"/>
    <numFmt numFmtId="168" formatCode="0.000%"/>
    <numFmt numFmtId="169" formatCode="_-&quot;€&quot;\ * #,##0.00_-;_-&quot;€&quot;\ * #,##0.00\-;_-&quot;€&quot;\ * &quot;-&quot;??_-;_-@_-"/>
    <numFmt numFmtId="170" formatCode="[$-413]dddd\ d\ mmmm\ yyyy"/>
    <numFmt numFmtId="171" formatCode="&quot;Ja&quot;;&quot;Ja&quot;;&quot;Nee&quot;"/>
    <numFmt numFmtId="172" formatCode="&quot;Waar&quot;;&quot;Waar&quot;;&quot;Onwaar&quot;"/>
    <numFmt numFmtId="173" formatCode="&quot;Aan&quot;;&quot;Aan&quot;;&quot;Uit&quot;"/>
    <numFmt numFmtId="174" formatCode="[$€-2]\ #.##000_);[Red]\([$€-2]\ #.##000\)"/>
    <numFmt numFmtId="175" formatCode="#,##0.00_ ;\-#,##0.00\ "/>
    <numFmt numFmtId="176" formatCode="0.0%"/>
    <numFmt numFmtId="177" formatCode="0.0000%"/>
    <numFmt numFmtId="178" formatCode="0.00000000"/>
    <numFmt numFmtId="179" formatCode="0.0000000"/>
    <numFmt numFmtId="180" formatCode="0.00000"/>
    <numFmt numFmtId="181" formatCode="0.0000"/>
    <numFmt numFmtId="182" formatCode="d/mm/yy;@"/>
    <numFmt numFmtId="183" formatCode="&quot;€&quot;\ #,##0.00"/>
    <numFmt numFmtId="184" formatCode="#\ ??/12"/>
    <numFmt numFmtId="185" formatCode="_-[$€-2]\ * #,##0.00_-;_-[$€-2]\ * #,##0.00\-;_-[$€-2]\ * &quot;-&quot;??_-"/>
    <numFmt numFmtId="186" formatCode="_-* #,##0.00_-;_-* #,##0.00\-;_-* &quot;-&quot;??_-;_-@_-"/>
    <numFmt numFmtId="187" formatCode="_ [$€-2]\ * #,##0.00_ ;_ [$€-2]\ * \-#,##0.00_ ;_ [$€-2]\ * &quot;-&quot;??_ ;_ @_ "/>
    <numFmt numFmtId="188" formatCode="_ * #,##0.000_ ;_ * \-#,##0.000_ ;_ * &quot;-&quot;???_ ;_ @_ "/>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s>
  <fonts count="83">
    <font>
      <sz val="10"/>
      <name val="Arial"/>
      <family val="2"/>
    </font>
    <font>
      <sz val="11"/>
      <color indexed="8"/>
      <name val="Calibri"/>
      <family val="2"/>
    </font>
    <font>
      <sz val="10"/>
      <color indexed="8"/>
      <name val="Calibri"/>
      <family val="2"/>
    </font>
    <font>
      <sz val="11"/>
      <color indexed="9"/>
      <name val="Calibri"/>
      <family val="2"/>
    </font>
    <font>
      <sz val="10"/>
      <color indexed="9"/>
      <name val="Calibri"/>
      <family val="2"/>
    </font>
    <font>
      <b/>
      <sz val="11"/>
      <color indexed="52"/>
      <name val="calibri"/>
      <family val="2"/>
    </font>
    <font>
      <b/>
      <sz val="10"/>
      <color indexed="52"/>
      <name val="Calibri"/>
      <family val="2"/>
    </font>
    <font>
      <b/>
      <sz val="11"/>
      <color indexed="9"/>
      <name val="Calibri"/>
      <family val="2"/>
    </font>
    <font>
      <b/>
      <sz val="10"/>
      <color indexed="9"/>
      <name val="Calibri"/>
      <family val="2"/>
    </font>
    <font>
      <sz val="12"/>
      <name val="Helv"/>
      <family val="0"/>
    </font>
    <font>
      <sz val="11"/>
      <color indexed="52"/>
      <name val="calibri"/>
      <family val="2"/>
    </font>
    <font>
      <sz val="10"/>
      <color indexed="52"/>
      <name val="Calibri"/>
      <family val="2"/>
    </font>
    <font>
      <sz val="11"/>
      <color indexed="17"/>
      <name val="calibri"/>
      <family val="2"/>
    </font>
    <font>
      <sz val="10"/>
      <color indexed="17"/>
      <name val="Calibri"/>
      <family val="2"/>
    </font>
    <font>
      <u val="single"/>
      <sz val="10"/>
      <color indexed="12"/>
      <name val="Arial"/>
      <family val="2"/>
    </font>
    <font>
      <sz val="11"/>
      <color indexed="62"/>
      <name val="calibri"/>
      <family val="2"/>
    </font>
    <font>
      <sz val="10"/>
      <color indexed="62"/>
      <name val="Calibri"/>
      <family val="2"/>
    </font>
    <font>
      <b/>
      <sz val="15"/>
      <color indexed="56"/>
      <name val="calibri"/>
      <family val="2"/>
    </font>
    <font>
      <b/>
      <sz val="13"/>
      <color indexed="56"/>
      <name val="calibri"/>
      <family val="2"/>
    </font>
    <font>
      <b/>
      <sz val="11"/>
      <color indexed="56"/>
      <name val="calibri"/>
      <family val="2"/>
    </font>
    <font>
      <b/>
      <sz val="14"/>
      <name val="Helv"/>
      <family val="0"/>
    </font>
    <font>
      <sz val="11"/>
      <color indexed="60"/>
      <name val="calibri"/>
      <family val="2"/>
    </font>
    <font>
      <sz val="10"/>
      <color indexed="60"/>
      <name val="Calibri"/>
      <family val="2"/>
    </font>
    <font>
      <sz val="11"/>
      <color indexed="20"/>
      <name val="calibri"/>
      <family val="2"/>
    </font>
    <font>
      <sz val="10"/>
      <color indexed="20"/>
      <name val="Calibri"/>
      <family val="2"/>
    </font>
    <font>
      <sz val="10"/>
      <name val="Courier"/>
      <family val="3"/>
    </font>
    <font>
      <sz val="10"/>
      <name val="MS Sans Serif"/>
      <family val="2"/>
    </font>
    <font>
      <sz val="12"/>
      <name val="NN-Mono"/>
      <family val="3"/>
    </font>
    <font>
      <b/>
      <sz val="18"/>
      <color indexed="56"/>
      <name val="Cambria"/>
      <family val="2"/>
    </font>
    <font>
      <sz val="24"/>
      <color indexed="13"/>
      <name val="Helv"/>
      <family val="0"/>
    </font>
    <font>
      <b/>
      <sz val="11"/>
      <color indexed="8"/>
      <name val="Calibri"/>
      <family val="2"/>
    </font>
    <font>
      <b/>
      <sz val="10"/>
      <color indexed="8"/>
      <name val="Calibri"/>
      <family val="2"/>
    </font>
    <font>
      <b/>
      <sz val="11"/>
      <color indexed="63"/>
      <name val="Calibri"/>
      <family val="2"/>
    </font>
    <font>
      <b/>
      <sz val="10"/>
      <color indexed="63"/>
      <name val="Calibri"/>
      <family val="2"/>
    </font>
    <font>
      <i/>
      <sz val="11"/>
      <color indexed="23"/>
      <name val="Calibri"/>
      <family val="2"/>
    </font>
    <font>
      <i/>
      <sz val="10"/>
      <color indexed="23"/>
      <name val="Calibri"/>
      <family val="2"/>
    </font>
    <font>
      <sz val="11"/>
      <color indexed="10"/>
      <name val="Calibri"/>
      <family val="2"/>
    </font>
    <font>
      <sz val="10"/>
      <color indexed="10"/>
      <name val="Calibri"/>
      <family val="2"/>
    </font>
    <font>
      <sz val="8"/>
      <name val="Arial"/>
      <family val="2"/>
    </font>
    <font>
      <b/>
      <sz val="16"/>
      <color indexed="9"/>
      <name val="Arial"/>
      <family val="2"/>
    </font>
    <font>
      <b/>
      <sz val="10"/>
      <name val="Arial"/>
      <family val="2"/>
    </font>
    <font>
      <sz val="9"/>
      <name val="Tahoma"/>
      <family val="2"/>
    </font>
    <font>
      <b/>
      <sz val="9"/>
      <name val="Tahoma"/>
      <family val="2"/>
    </font>
    <font>
      <u val="single"/>
      <sz val="10"/>
      <color indexed="20"/>
      <name val="Arial"/>
      <family val="2"/>
    </font>
    <font>
      <u val="single"/>
      <sz val="11"/>
      <color indexed="12"/>
      <name val="Calibri"/>
      <family val="2"/>
    </font>
    <font>
      <sz val="10"/>
      <color indexed="10"/>
      <name val="Arial"/>
      <family val="2"/>
    </font>
    <font>
      <b/>
      <sz val="11"/>
      <color indexed="10"/>
      <name val="Calibri"/>
      <family val="2"/>
    </font>
    <font>
      <b/>
      <sz val="9"/>
      <color indexed="8"/>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52"/>
      <name val="Arial"/>
      <family val="2"/>
    </font>
    <font>
      <b/>
      <sz val="10"/>
      <color indexed="30"/>
      <name val="Arial"/>
      <family val="2"/>
    </font>
    <font>
      <sz val="10"/>
      <color indexed="30"/>
      <name val="Arial"/>
      <family val="2"/>
    </font>
    <font>
      <b/>
      <sz val="11"/>
      <color indexed="30"/>
      <name val="Calibri"/>
      <family val="2"/>
    </font>
    <font>
      <b/>
      <sz val="10"/>
      <color indexed="10"/>
      <name val="Arial"/>
      <family val="2"/>
    </font>
    <font>
      <b/>
      <sz val="10"/>
      <color indexed="56"/>
      <name val="Arial"/>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sz val="10"/>
      <color rgb="FFFF9A00"/>
      <name val="Arial"/>
      <family val="2"/>
    </font>
    <font>
      <sz val="10"/>
      <color rgb="FFFF0000"/>
      <name val="Arial"/>
      <family val="2"/>
    </font>
    <font>
      <b/>
      <sz val="10"/>
      <color rgb="FF0070C0"/>
      <name val="Arial"/>
      <family val="2"/>
    </font>
    <font>
      <sz val="10"/>
      <color rgb="FF0070C0"/>
      <name val="Arial"/>
      <family val="2"/>
    </font>
    <font>
      <b/>
      <sz val="11"/>
      <color rgb="FF0070C0"/>
      <name val="Calibri"/>
      <family val="2"/>
    </font>
    <font>
      <b/>
      <sz val="10"/>
      <color rgb="FFFF0000"/>
      <name val="Arial"/>
      <family val="2"/>
    </font>
    <font>
      <b/>
      <sz val="10"/>
      <color rgb="FF002060"/>
      <name val="Arial"/>
      <family val="2"/>
    </font>
    <font>
      <b/>
      <sz val="8"/>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12"/>
        <bgColor indexed="64"/>
      </patternFill>
    </fill>
    <fill>
      <patternFill patternType="solid">
        <fgColor rgb="FFFF9A00"/>
        <bgColor indexed="64"/>
      </patternFill>
    </fill>
    <fill>
      <patternFill patternType="solid">
        <fgColor indexed="9"/>
        <bgColor indexed="64"/>
      </patternFill>
    </fill>
    <fill>
      <patternFill patternType="solid">
        <fgColor theme="3" tint="0.7999500036239624"/>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s>
  <borders count="3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right style="double"/>
      <top style="double"/>
      <bottom style="double"/>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double">
        <color indexed="52"/>
      </bottom>
    </border>
    <border>
      <left>
        <color indexed="63"/>
      </left>
      <right>
        <color indexed="63"/>
      </right>
      <top>
        <color indexed="63"/>
      </top>
      <bottom style="thick"/>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bottom style="double"/>
    </border>
    <border>
      <left>
        <color indexed="63"/>
      </left>
      <right>
        <color indexed="63"/>
      </right>
      <top style="thin">
        <color indexed="62"/>
      </top>
      <bottom style="double">
        <color indexed="62"/>
      </bottom>
    </border>
    <border>
      <left style="thin">
        <color indexed="8"/>
      </left>
      <right style="thin">
        <color indexed="8"/>
      </right>
      <top style="double">
        <color indexed="8"/>
      </top>
      <bottom style="thin">
        <color indexed="8"/>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3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4"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4" fillId="43" borderId="0" applyNumberFormat="0" applyBorder="0" applyAlignment="0" applyProtection="0"/>
    <xf numFmtId="0" fontId="3" fillId="43" borderId="0" applyNumberFormat="0" applyBorder="0" applyAlignment="0" applyProtection="0"/>
    <xf numFmtId="0" fontId="63" fillId="44" borderId="1" applyNumberFormat="0" applyAlignment="0" applyProtection="0"/>
    <xf numFmtId="0" fontId="5" fillId="45" borderId="2" applyNumberFormat="0" applyAlignment="0" applyProtection="0"/>
    <xf numFmtId="0" fontId="6" fillId="45" borderId="2" applyNumberFormat="0" applyAlignment="0" applyProtection="0"/>
    <xf numFmtId="0" fontId="7" fillId="46" borderId="3" applyNumberFormat="0" applyAlignment="0" applyProtection="0"/>
    <xf numFmtId="0" fontId="7" fillId="47" borderId="4" applyNumberFormat="0" applyAlignment="0" applyProtection="0"/>
    <xf numFmtId="0" fontId="8" fillId="47" borderId="4" applyNumberFormat="0" applyAlignment="0" applyProtection="0"/>
    <xf numFmtId="0" fontId="7" fillId="47" borderId="4" applyNumberFormat="0" applyAlignment="0" applyProtection="0"/>
    <xf numFmtId="0" fontId="9" fillId="0" borderId="0">
      <alignment/>
      <protection/>
    </xf>
    <xf numFmtId="0" fontId="9" fillId="0" borderId="5">
      <alignment/>
      <protection/>
    </xf>
    <xf numFmtId="185" fontId="0" fillId="0" borderId="0" applyFont="0" applyFill="0" applyBorder="0" applyAlignment="0" applyProtection="0"/>
    <xf numFmtId="0" fontId="64" fillId="0" borderId="6" applyNumberFormat="0" applyFill="0" applyAlignment="0" applyProtection="0"/>
    <xf numFmtId="0" fontId="10" fillId="0" borderId="7" applyNumberFormat="0" applyFill="0" applyAlignment="0" applyProtection="0"/>
    <xf numFmtId="0" fontId="11" fillId="0" borderId="7" applyNumberFormat="0" applyFill="0" applyAlignment="0" applyProtection="0"/>
    <xf numFmtId="0" fontId="43" fillId="0" borderId="0" applyNumberFormat="0" applyFill="0" applyBorder="0" applyAlignment="0" applyProtection="0"/>
    <xf numFmtId="0" fontId="65" fillId="48"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6" fillId="13" borderId="1" applyNumberFormat="0" applyAlignment="0" applyProtection="0"/>
    <xf numFmtId="0" fontId="15" fillId="13" borderId="2" applyNumberFormat="0" applyAlignment="0" applyProtection="0"/>
    <xf numFmtId="0" fontId="16" fillId="13" borderId="2" applyNumberFormat="0" applyAlignment="0" applyProtection="0"/>
    <xf numFmtId="0" fontId="15" fillId="1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7" fillId="0" borderId="8" applyNumberFormat="0" applyFill="0" applyAlignment="0" applyProtection="0"/>
    <xf numFmtId="0" fontId="17" fillId="0" borderId="9" applyNumberFormat="0" applyFill="0" applyAlignment="0" applyProtection="0"/>
    <xf numFmtId="0" fontId="68" fillId="0" borderId="8" applyNumberFormat="0" applyFill="0" applyAlignment="0" applyProtection="0"/>
    <xf numFmtId="0" fontId="18" fillId="0" borderId="10" applyNumberFormat="0" applyFill="0" applyAlignment="0" applyProtection="0"/>
    <xf numFmtId="0" fontId="69" fillId="0" borderId="11" applyNumberFormat="0" applyFill="0" applyAlignment="0" applyProtection="0"/>
    <xf numFmtId="0" fontId="19" fillId="0" borderId="12" applyNumberFormat="0" applyFill="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49" borderId="5">
      <alignment/>
      <protection/>
    </xf>
    <xf numFmtId="0" fontId="70" fillId="50" borderId="0" applyNumberFormat="0" applyBorder="0" applyAlignment="0" applyProtection="0"/>
    <xf numFmtId="0" fontId="21" fillId="51" borderId="0" applyNumberFormat="0" applyBorder="0" applyAlignment="0" applyProtection="0"/>
    <xf numFmtId="0" fontId="22" fillId="51" borderId="0" applyNumberFormat="0" applyBorder="0" applyAlignment="0" applyProtection="0"/>
    <xf numFmtId="0" fontId="1" fillId="52" borderId="1" applyNumberFormat="0" applyFont="0" applyAlignment="0" applyProtection="0"/>
    <xf numFmtId="0" fontId="0" fillId="52" borderId="13" applyNumberFormat="0" applyFont="0" applyAlignment="0" applyProtection="0"/>
    <xf numFmtId="0" fontId="0" fillId="52" borderId="13" applyNumberFormat="0" applyFont="0" applyAlignment="0" applyProtection="0"/>
    <xf numFmtId="0" fontId="71" fillId="53"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5" borderId="0" applyNumberFormat="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25"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9" fillId="0" borderId="5">
      <alignment/>
      <protection/>
    </xf>
    <xf numFmtId="0" fontId="72" fillId="0" borderId="0" applyNumberFormat="0" applyFill="0" applyBorder="0" applyAlignment="0" applyProtection="0"/>
    <xf numFmtId="0" fontId="28" fillId="0" borderId="0" applyNumberFormat="0" applyFill="0" applyBorder="0" applyAlignment="0" applyProtection="0"/>
    <xf numFmtId="0" fontId="29" fillId="54" borderId="0">
      <alignment/>
      <protection/>
    </xf>
    <xf numFmtId="0" fontId="30" fillId="0" borderId="14" applyNumberFormat="0" applyFill="0" applyAlignment="0" applyProtection="0"/>
    <xf numFmtId="0" fontId="30" fillId="0" borderId="15" applyNumberFormat="0" applyFill="0" applyAlignment="0" applyProtection="0"/>
    <xf numFmtId="0" fontId="31" fillId="0" borderId="15" applyNumberFormat="0" applyFill="0" applyAlignment="0" applyProtection="0"/>
    <xf numFmtId="0" fontId="20" fillId="0" borderId="16">
      <alignment/>
      <protection/>
    </xf>
    <xf numFmtId="0" fontId="20" fillId="0" borderId="5">
      <alignment/>
      <protection/>
    </xf>
    <xf numFmtId="0" fontId="73" fillId="44" borderId="1" applyNumberFormat="0" applyAlignment="0" applyProtection="0"/>
    <xf numFmtId="0" fontId="32" fillId="45" borderId="17" applyNumberFormat="0" applyAlignment="0" applyProtection="0"/>
    <xf numFmtId="0" fontId="33" fillId="45" borderId="17" applyNumberFormat="0" applyAlignment="0" applyProtection="0"/>
    <xf numFmtId="0" fontId="32" fillId="45" borderId="17"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69" fontId="0" fillId="0" borderId="0" applyFon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31">
    <xf numFmtId="0" fontId="0" fillId="0" borderId="0" xfId="0" applyAlignment="1">
      <alignment/>
    </xf>
    <xf numFmtId="0" fontId="0" fillId="0" borderId="0" xfId="0" applyFont="1" applyAlignment="1" applyProtection="1">
      <alignment/>
      <protection/>
    </xf>
    <xf numFmtId="0" fontId="0" fillId="0" borderId="0" xfId="0" applyAlignment="1" applyProtection="1">
      <alignment/>
      <protection/>
    </xf>
    <xf numFmtId="0" fontId="39" fillId="33" borderId="0" xfId="0" applyFont="1" applyFill="1" applyBorder="1" applyAlignment="1" applyProtection="1">
      <alignment/>
      <protection hidden="1"/>
    </xf>
    <xf numFmtId="0" fontId="75" fillId="33" borderId="0" xfId="0" applyFont="1" applyFill="1" applyBorder="1" applyAlignment="1" applyProtection="1">
      <alignment/>
      <protection/>
    </xf>
    <xf numFmtId="0" fontId="0" fillId="33" borderId="0" xfId="0" applyFill="1" applyBorder="1" applyAlignment="1" applyProtection="1">
      <alignment/>
      <protection/>
    </xf>
    <xf numFmtId="0" fontId="0" fillId="55" borderId="0" xfId="0" applyFont="1" applyFill="1" applyAlignment="1">
      <alignment/>
    </xf>
    <xf numFmtId="0" fontId="0" fillId="56" borderId="1" xfId="0" applyFont="1" applyFill="1" applyBorder="1" applyAlignment="1" applyProtection="1">
      <alignment/>
      <protection/>
    </xf>
    <xf numFmtId="0" fontId="45" fillId="56" borderId="18"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right"/>
      <protection/>
    </xf>
    <xf numFmtId="0" fontId="0" fillId="56" borderId="1" xfId="0" applyFill="1" applyBorder="1" applyAlignment="1" applyProtection="1">
      <alignment/>
      <protection/>
    </xf>
    <xf numFmtId="0" fontId="45" fillId="56" borderId="19" xfId="0" applyNumberFormat="1" applyFont="1" applyFill="1" applyBorder="1" applyAlignment="1" applyProtection="1">
      <alignment horizontal="left"/>
      <protection locked="0"/>
    </xf>
    <xf numFmtId="0" fontId="0" fillId="0" borderId="20" xfId="0" applyFont="1" applyBorder="1" applyAlignment="1" applyProtection="1">
      <alignment/>
      <protection/>
    </xf>
    <xf numFmtId="0" fontId="0" fillId="56" borderId="19" xfId="0" applyFill="1" applyBorder="1" applyAlignment="1" applyProtection="1">
      <alignment/>
      <protection/>
    </xf>
    <xf numFmtId="0" fontId="45" fillId="56" borderId="19" xfId="0" applyFont="1" applyFill="1" applyBorder="1" applyAlignment="1" applyProtection="1">
      <alignment/>
      <protection/>
    </xf>
    <xf numFmtId="0" fontId="0" fillId="0" borderId="21" xfId="0" applyBorder="1" applyAlignment="1">
      <alignment/>
    </xf>
    <xf numFmtId="0" fontId="45" fillId="56" borderId="22" xfId="0" applyFont="1" applyFill="1" applyBorder="1" applyAlignment="1" applyProtection="1">
      <alignment horizontal="left"/>
      <protection/>
    </xf>
    <xf numFmtId="0" fontId="40" fillId="49" borderId="19" xfId="0" applyFont="1" applyFill="1" applyBorder="1" applyAlignment="1" applyProtection="1">
      <alignment horizontal="center"/>
      <protection/>
    </xf>
    <xf numFmtId="0" fontId="40" fillId="49" borderId="20" xfId="0" applyFont="1" applyFill="1" applyBorder="1" applyAlignment="1" applyProtection="1">
      <alignment horizontal="right"/>
      <protection/>
    </xf>
    <xf numFmtId="0" fontId="45" fillId="56" borderId="1" xfId="0" applyNumberFormat="1" applyFont="1" applyFill="1" applyBorder="1" applyAlignment="1" applyProtection="1">
      <alignment horizontal="left"/>
      <protection/>
    </xf>
    <xf numFmtId="166" fontId="0" fillId="0" borderId="0" xfId="0" applyNumberFormat="1" applyFont="1" applyFill="1" applyBorder="1" applyAlignment="1" applyProtection="1">
      <alignment/>
      <protection/>
    </xf>
    <xf numFmtId="10" fontId="45" fillId="56" borderId="1" xfId="177" applyNumberFormat="1" applyFont="1" applyFill="1" applyBorder="1" applyAlignment="1" applyProtection="1">
      <alignment/>
      <protection locked="0"/>
    </xf>
    <xf numFmtId="167" fontId="45" fillId="56" borderId="1" xfId="0" applyNumberFormat="1" applyFont="1" applyFill="1" applyBorder="1" applyAlignment="1" applyProtection="1">
      <alignment horizontal="left"/>
      <protection/>
    </xf>
    <xf numFmtId="14" fontId="45" fillId="56" borderId="1" xfId="0" applyNumberFormat="1" applyFont="1" applyFill="1" applyBorder="1" applyAlignment="1" applyProtection="1">
      <alignment horizontal="left"/>
      <protection locked="0"/>
    </xf>
    <xf numFmtId="0" fontId="0" fillId="56" borderId="1" xfId="0" applyFont="1" applyFill="1" applyBorder="1" applyAlignment="1">
      <alignment/>
    </xf>
    <xf numFmtId="0" fontId="0" fillId="56" borderId="19" xfId="0" applyFont="1" applyFill="1" applyBorder="1" applyAlignment="1" applyProtection="1">
      <alignment/>
      <protection/>
    </xf>
    <xf numFmtId="0" fontId="45" fillId="56" borderId="1" xfId="0" applyFont="1" applyFill="1" applyBorder="1" applyAlignment="1" applyProtection="1">
      <alignment/>
      <protection locked="0"/>
    </xf>
    <xf numFmtId="168" fontId="0" fillId="0" borderId="0" xfId="0" applyNumberFormat="1" applyFont="1" applyFill="1" applyBorder="1" applyAlignment="1" applyProtection="1">
      <alignment/>
      <protection/>
    </xf>
    <xf numFmtId="168" fontId="0" fillId="0" borderId="0" xfId="177" applyNumberFormat="1" applyFont="1" applyFill="1" applyBorder="1" applyAlignment="1" applyProtection="1">
      <alignment/>
      <protection/>
    </xf>
    <xf numFmtId="14" fontId="45" fillId="56" borderId="1" xfId="0" applyNumberFormat="1" applyFont="1" applyFill="1" applyBorder="1" applyAlignment="1" applyProtection="1">
      <alignment horizontal="left"/>
      <protection/>
    </xf>
    <xf numFmtId="10" fontId="0" fillId="0" borderId="0" xfId="177" applyNumberFormat="1" applyFont="1" applyFill="1" applyBorder="1" applyAlignment="1" applyProtection="1">
      <alignment horizontal="right"/>
      <protection/>
    </xf>
    <xf numFmtId="0" fontId="0" fillId="56" borderId="1" xfId="0" applyFont="1" applyFill="1" applyBorder="1" applyAlignment="1" applyProtection="1">
      <alignment horizontal="left" indent="4"/>
      <protection/>
    </xf>
    <xf numFmtId="10" fontId="45" fillId="56" borderId="1" xfId="177" applyNumberFormat="1" applyFont="1" applyFill="1" applyBorder="1" applyAlignment="1" applyProtection="1">
      <alignment horizontal="right"/>
      <protection locked="0"/>
    </xf>
    <xf numFmtId="10" fontId="0" fillId="56" borderId="1" xfId="177" applyNumberFormat="1" applyFont="1" applyFill="1" applyBorder="1" applyAlignment="1" applyProtection="1">
      <alignment horizontal="right"/>
      <protection/>
    </xf>
    <xf numFmtId="0" fontId="0" fillId="56" borderId="1" xfId="0" applyFill="1" applyBorder="1" applyAlignment="1" applyProtection="1">
      <alignment horizontal="left" indent="4"/>
      <protection/>
    </xf>
    <xf numFmtId="165" fontId="0" fillId="0" borderId="0" xfId="0" applyNumberFormat="1" applyFont="1" applyFill="1" applyBorder="1" applyAlignment="1" applyProtection="1">
      <alignment/>
      <protection/>
    </xf>
    <xf numFmtId="0" fontId="45" fillId="56" borderId="1" xfId="0" applyFont="1" applyFill="1" applyBorder="1" applyAlignment="1" applyProtection="1">
      <alignment horizontal="left"/>
      <protection locked="0"/>
    </xf>
    <xf numFmtId="0" fontId="0" fillId="0" borderId="0" xfId="0" applyFont="1" applyAlignment="1" applyProtection="1">
      <alignment/>
      <protection/>
    </xf>
    <xf numFmtId="166" fontId="45" fillId="56" borderId="1" xfId="177" applyNumberFormat="1" applyFont="1" applyFill="1" applyBorder="1" applyAlignment="1" applyProtection="1">
      <alignment/>
      <protection locked="0"/>
    </xf>
    <xf numFmtId="0" fontId="0" fillId="56" borderId="0" xfId="0" applyFill="1" applyBorder="1" applyAlignment="1" applyProtection="1">
      <alignment/>
      <protection/>
    </xf>
    <xf numFmtId="0" fontId="0" fillId="56" borderId="0" xfId="0" applyFill="1" applyBorder="1" applyAlignment="1" applyProtection="1">
      <alignment horizontal="right"/>
      <protection/>
    </xf>
    <xf numFmtId="0" fontId="0" fillId="0" borderId="0" xfId="0" applyAlignment="1" applyProtection="1">
      <alignment/>
      <protection/>
    </xf>
    <xf numFmtId="166" fontId="45" fillId="56" borderId="0" xfId="177" applyNumberFormat="1" applyFont="1" applyFill="1" applyBorder="1" applyAlignment="1" applyProtection="1">
      <alignment/>
      <protection/>
    </xf>
    <xf numFmtId="9" fontId="0" fillId="56" borderId="1" xfId="177" applyFont="1" applyFill="1" applyBorder="1" applyAlignment="1" applyProtection="1">
      <alignment/>
      <protection/>
    </xf>
    <xf numFmtId="0" fontId="0" fillId="56" borderId="1" xfId="0" applyFill="1" applyBorder="1" applyAlignment="1" applyProtection="1">
      <alignment/>
      <protection hidden="1"/>
    </xf>
    <xf numFmtId="0" fontId="0" fillId="56" borderId="19" xfId="0" applyFill="1" applyBorder="1" applyAlignment="1" applyProtection="1">
      <alignment/>
      <protection hidden="1"/>
    </xf>
    <xf numFmtId="0" fontId="0" fillId="0" borderId="20" xfId="0" applyBorder="1" applyAlignment="1">
      <alignment/>
    </xf>
    <xf numFmtId="0" fontId="0" fillId="56" borderId="22" xfId="0" applyFill="1" applyBorder="1" applyAlignment="1" applyProtection="1">
      <alignment/>
      <protection/>
    </xf>
    <xf numFmtId="0" fontId="0" fillId="56" borderId="0" xfId="0" applyFill="1" applyAlignment="1" applyProtection="1">
      <alignment/>
      <protection/>
    </xf>
    <xf numFmtId="0" fontId="0" fillId="56" borderId="0" xfId="0" applyFill="1" applyBorder="1" applyAlignment="1" applyProtection="1">
      <alignment horizontal="left"/>
      <protection/>
    </xf>
    <xf numFmtId="0" fontId="0" fillId="0" borderId="23" xfId="0" applyBorder="1" applyAlignment="1" applyProtection="1">
      <alignment/>
      <protection/>
    </xf>
    <xf numFmtId="0" fontId="0" fillId="0" borderId="19"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0" fillId="0" borderId="1" xfId="0" applyBorder="1" applyAlignment="1" applyProtection="1">
      <alignment/>
      <protection/>
    </xf>
    <xf numFmtId="0" fontId="0" fillId="0" borderId="19" xfId="0" applyBorder="1" applyAlignment="1" applyProtection="1">
      <alignment/>
      <protection/>
    </xf>
    <xf numFmtId="0" fontId="40" fillId="0" borderId="0" xfId="0" applyFont="1" applyAlignment="1" applyProtection="1">
      <alignment/>
      <protection/>
    </xf>
    <xf numFmtId="4" fontId="0" fillId="0" borderId="0" xfId="0" applyNumberFormat="1" applyAlignment="1">
      <alignment/>
    </xf>
    <xf numFmtId="14" fontId="0" fillId="0" borderId="0" xfId="0" applyNumberFormat="1" applyAlignment="1">
      <alignment/>
    </xf>
    <xf numFmtId="2" fontId="0" fillId="0" borderId="0" xfId="0" applyNumberFormat="1" applyAlignment="1">
      <alignment/>
    </xf>
    <xf numFmtId="0" fontId="0" fillId="49" borderId="0" xfId="0" applyFill="1" applyAlignment="1">
      <alignment/>
    </xf>
    <xf numFmtId="0" fontId="0" fillId="18" borderId="0" xfId="0" applyFill="1" applyAlignment="1">
      <alignment/>
    </xf>
    <xf numFmtId="0" fontId="0" fillId="0" borderId="0" xfId="0" applyFill="1" applyAlignment="1">
      <alignment/>
    </xf>
    <xf numFmtId="0" fontId="40" fillId="0" borderId="0" xfId="0" applyFont="1" applyAlignment="1">
      <alignment/>
    </xf>
    <xf numFmtId="0" fontId="38" fillId="0" borderId="0" xfId="0" applyFont="1" applyAlignment="1">
      <alignment vertical="top" wrapText="1"/>
    </xf>
    <xf numFmtId="10" fontId="0" fillId="0" borderId="0" xfId="0" applyNumberFormat="1" applyAlignment="1">
      <alignment/>
    </xf>
    <xf numFmtId="44" fontId="0" fillId="0" borderId="0" xfId="0" applyNumberFormat="1" applyAlignment="1">
      <alignment/>
    </xf>
    <xf numFmtId="0" fontId="30" fillId="57" borderId="0" xfId="191" applyFont="1" applyFill="1" applyAlignment="1">
      <alignment horizontal="center"/>
      <protection/>
    </xf>
    <xf numFmtId="0" fontId="30" fillId="0" borderId="0" xfId="191" applyFont="1" applyFill="1" applyAlignment="1">
      <alignment horizontal="center"/>
      <protection/>
    </xf>
    <xf numFmtId="0" fontId="30" fillId="0" borderId="0" xfId="191" applyFont="1" applyAlignment="1">
      <alignment horizontal="center"/>
      <protection/>
    </xf>
    <xf numFmtId="0" fontId="46" fillId="0" borderId="0" xfId="191" applyFont="1" applyAlignment="1">
      <alignment horizontal="center"/>
      <protection/>
    </xf>
    <xf numFmtId="0" fontId="30" fillId="58" borderId="0" xfId="191" applyFont="1" applyFill="1" applyAlignment="1">
      <alignment horizontal="center"/>
      <protection/>
    </xf>
    <xf numFmtId="14" fontId="0" fillId="0" borderId="0" xfId="191" applyNumberFormat="1" applyFont="1">
      <alignment/>
      <protection/>
    </xf>
    <xf numFmtId="2" fontId="0" fillId="0" borderId="0" xfId="191" applyNumberFormat="1" applyFont="1">
      <alignment/>
      <protection/>
    </xf>
    <xf numFmtId="180" fontId="0" fillId="0" borderId="0" xfId="191" applyNumberFormat="1" applyFont="1">
      <alignment/>
      <protection/>
    </xf>
    <xf numFmtId="0" fontId="1" fillId="0" borderId="0" xfId="191" applyFont="1" applyFill="1" applyAlignment="1">
      <alignment horizontal="center"/>
      <protection/>
    </xf>
    <xf numFmtId="1" fontId="0" fillId="0" borderId="0" xfId="191" applyNumberFormat="1" applyFont="1">
      <alignment/>
      <protection/>
    </xf>
    <xf numFmtId="43" fontId="0" fillId="0" borderId="0" xfId="137" applyFont="1" applyAlignment="1">
      <alignment/>
    </xf>
    <xf numFmtId="43" fontId="0" fillId="0" borderId="0" xfId="0" applyNumberFormat="1" applyAlignment="1">
      <alignment/>
    </xf>
    <xf numFmtId="0" fontId="0" fillId="59" borderId="0" xfId="0" applyFill="1" applyAlignment="1">
      <alignment/>
    </xf>
    <xf numFmtId="49" fontId="0" fillId="0" borderId="0" xfId="0" applyNumberFormat="1" applyAlignment="1" applyProtection="1">
      <alignment/>
      <protection locked="0"/>
    </xf>
    <xf numFmtId="180" fontId="0" fillId="0" borderId="0" xfId="191" applyNumberFormat="1" applyFont="1" applyFill="1">
      <alignment/>
      <protection/>
    </xf>
    <xf numFmtId="180" fontId="0" fillId="0" borderId="0" xfId="0" applyNumberFormat="1" applyFill="1" applyAlignment="1">
      <alignment/>
    </xf>
    <xf numFmtId="4" fontId="0" fillId="0" borderId="0" xfId="191" applyNumberFormat="1" applyFont="1" applyFill="1">
      <alignment/>
      <protection/>
    </xf>
    <xf numFmtId="4" fontId="0" fillId="60" borderId="0" xfId="0" applyNumberFormat="1" applyFill="1" applyAlignment="1">
      <alignment/>
    </xf>
    <xf numFmtId="43" fontId="0" fillId="60" borderId="0" xfId="137" applyFont="1" applyFill="1" applyAlignment="1">
      <alignment/>
    </xf>
    <xf numFmtId="197" fontId="0" fillId="0" borderId="0" xfId="0" applyNumberFormat="1" applyAlignment="1">
      <alignment/>
    </xf>
    <xf numFmtId="43" fontId="0" fillId="60" borderId="0" xfId="0" applyNumberFormat="1" applyFill="1" applyAlignment="1">
      <alignment/>
    </xf>
    <xf numFmtId="1" fontId="0" fillId="0" borderId="0" xfId="0" applyNumberFormat="1" applyBorder="1" applyAlignment="1">
      <alignment/>
    </xf>
    <xf numFmtId="0" fontId="0" fillId="0" borderId="0" xfId="0" applyBorder="1" applyAlignment="1">
      <alignment/>
    </xf>
    <xf numFmtId="0" fontId="40" fillId="0" borderId="0" xfId="0" applyFont="1" applyBorder="1" applyAlignment="1">
      <alignment/>
    </xf>
    <xf numFmtId="43" fontId="0" fillId="0" borderId="0" xfId="137" applyFont="1" applyBorder="1" applyAlignment="1">
      <alignment/>
    </xf>
    <xf numFmtId="1" fontId="0" fillId="0" borderId="26" xfId="191" applyNumberFormat="1" applyFont="1" applyFill="1" applyBorder="1">
      <alignment/>
      <protection/>
    </xf>
    <xf numFmtId="43" fontId="0" fillId="0" borderId="0" xfId="0" applyNumberFormat="1" applyFill="1" applyAlignment="1">
      <alignment/>
    </xf>
    <xf numFmtId="0" fontId="40" fillId="0" borderId="0" xfId="0" applyFont="1" applyAlignment="1">
      <alignment horizontal="center"/>
    </xf>
    <xf numFmtId="0" fontId="76" fillId="0" borderId="0" xfId="0" applyFont="1" applyAlignment="1">
      <alignment/>
    </xf>
    <xf numFmtId="44" fontId="0" fillId="60" borderId="0" xfId="0" applyNumberFormat="1" applyFill="1" applyAlignment="1">
      <alignment/>
    </xf>
    <xf numFmtId="14" fontId="0" fillId="59" borderId="0" xfId="0" applyNumberFormat="1" applyFill="1" applyAlignment="1">
      <alignment/>
    </xf>
    <xf numFmtId="14" fontId="0" fillId="0" borderId="0" xfId="0" applyNumberFormat="1" applyFill="1" applyAlignment="1">
      <alignment/>
    </xf>
    <xf numFmtId="0" fontId="38" fillId="0" borderId="0" xfId="0" applyFont="1" applyFill="1" applyAlignment="1">
      <alignment/>
    </xf>
    <xf numFmtId="4" fontId="38" fillId="0" borderId="11" xfId="0" applyNumberFormat="1" applyFont="1" applyFill="1" applyBorder="1" applyAlignment="1">
      <alignment horizontal="right" vertical="top" wrapText="1"/>
    </xf>
    <xf numFmtId="0" fontId="0" fillId="58" borderId="0" xfId="0" applyFill="1" applyAlignment="1">
      <alignment/>
    </xf>
    <xf numFmtId="0" fontId="77" fillId="0" borderId="0" xfId="0" applyFont="1" applyAlignment="1">
      <alignment/>
    </xf>
    <xf numFmtId="0" fontId="47" fillId="0" borderId="0" xfId="191" applyFont="1" applyFill="1" applyAlignment="1">
      <alignment horizontal="center"/>
      <protection/>
    </xf>
    <xf numFmtId="43" fontId="78" fillId="0" borderId="0" xfId="137" applyFont="1" applyAlignment="1">
      <alignment/>
    </xf>
    <xf numFmtId="0" fontId="79" fillId="0" borderId="0" xfId="191" applyFont="1" applyFill="1" applyAlignment="1">
      <alignment horizontal="center"/>
      <protection/>
    </xf>
    <xf numFmtId="0" fontId="40" fillId="0" borderId="27" xfId="0" applyFont="1" applyBorder="1" applyAlignment="1">
      <alignment/>
    </xf>
    <xf numFmtId="0" fontId="0" fillId="0" borderId="28" xfId="0" applyBorder="1" applyAlignment="1">
      <alignment/>
    </xf>
    <xf numFmtId="0" fontId="77" fillId="0" borderId="29" xfId="0" applyFont="1" applyBorder="1" applyAlignment="1">
      <alignment horizontal="center"/>
    </xf>
    <xf numFmtId="9" fontId="0" fillId="0" borderId="0" xfId="0" applyNumberFormat="1" applyFill="1" applyAlignment="1">
      <alignment/>
    </xf>
    <xf numFmtId="10" fontId="80" fillId="0" borderId="26" xfId="0" applyNumberFormat="1" applyFont="1" applyBorder="1" applyAlignment="1">
      <alignment horizontal="center"/>
    </xf>
    <xf numFmtId="0" fontId="78" fillId="0" borderId="0" xfId="0" applyFont="1" applyAlignment="1">
      <alignment/>
    </xf>
    <xf numFmtId="3" fontId="0" fillId="0" borderId="0" xfId="0" applyNumberFormat="1" applyAlignment="1">
      <alignment/>
    </xf>
    <xf numFmtId="3" fontId="0" fillId="0" borderId="0" xfId="0" applyNumberFormat="1" applyFill="1" applyAlignment="1">
      <alignment/>
    </xf>
    <xf numFmtId="0" fontId="81" fillId="0" borderId="27" xfId="0" applyFont="1" applyBorder="1" applyAlignment="1">
      <alignment horizontal="right"/>
    </xf>
    <xf numFmtId="14" fontId="81" fillId="0" borderId="29" xfId="0" applyNumberFormat="1"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1" fontId="0" fillId="59" borderId="0" xfId="0" applyNumberFormat="1" applyFill="1" applyBorder="1" applyAlignment="1">
      <alignment/>
    </xf>
    <xf numFmtId="1" fontId="0" fillId="59" borderId="34" xfId="0" applyNumberFormat="1" applyFill="1" applyBorder="1" applyAlignment="1">
      <alignment/>
    </xf>
    <xf numFmtId="0" fontId="0" fillId="0" borderId="34" xfId="0" applyBorder="1" applyAlignment="1">
      <alignment/>
    </xf>
    <xf numFmtId="0" fontId="0" fillId="59" borderId="0" xfId="0" applyFill="1" applyBorder="1" applyAlignment="1">
      <alignment/>
    </xf>
    <xf numFmtId="0" fontId="0" fillId="59" borderId="34" xfId="0" applyFill="1" applyBorder="1" applyAlignment="1">
      <alignment/>
    </xf>
    <xf numFmtId="0" fontId="0" fillId="0" borderId="35" xfId="0" applyBorder="1" applyAlignment="1">
      <alignment/>
    </xf>
    <xf numFmtId="0" fontId="0" fillId="59" borderId="11" xfId="0" applyFill="1" applyBorder="1" applyAlignment="1">
      <alignment/>
    </xf>
    <xf numFmtId="0" fontId="0" fillId="59" borderId="36" xfId="0" applyFill="1" applyBorder="1" applyAlignment="1">
      <alignment/>
    </xf>
    <xf numFmtId="2" fontId="77" fillId="0" borderId="0" xfId="0" applyNumberFormat="1" applyFont="1" applyFill="1" applyAlignment="1">
      <alignment horizontal="center"/>
    </xf>
    <xf numFmtId="0" fontId="77" fillId="0" borderId="0" xfId="0" applyFont="1" applyAlignment="1">
      <alignment horizontal="center"/>
    </xf>
    <xf numFmtId="0" fontId="0" fillId="61" borderId="0" xfId="0" applyFill="1" applyAlignment="1">
      <alignment/>
    </xf>
  </cellXfs>
  <cellStyles count="31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erekening" xfId="111"/>
    <cellStyle name="Berekening 2" xfId="112"/>
    <cellStyle name="Berekening 3" xfId="113"/>
    <cellStyle name="Controlecel" xfId="114"/>
    <cellStyle name="Controlecel 2" xfId="115"/>
    <cellStyle name="Controlecel 3" xfId="116"/>
    <cellStyle name="Controlecel 4" xfId="117"/>
    <cellStyle name="Custom - Opmaakprofiel8" xfId="118"/>
    <cellStyle name="Data   - Opmaakprofiel2" xfId="119"/>
    <cellStyle name="Euro" xfId="120"/>
    <cellStyle name="Gekoppelde cel" xfId="121"/>
    <cellStyle name="Gekoppelde cel 2" xfId="122"/>
    <cellStyle name="Gekoppelde cel 3" xfId="123"/>
    <cellStyle name="Followed Hyperlink" xfId="124"/>
    <cellStyle name="Goed" xfId="125"/>
    <cellStyle name="Goed 2" xfId="126"/>
    <cellStyle name="Goed 3" xfId="127"/>
    <cellStyle name="Hyperlink" xfId="128"/>
    <cellStyle name="Hyperlink 2" xfId="129"/>
    <cellStyle name="Hyperlink 3" xfId="130"/>
    <cellStyle name="Hyperlink 4" xfId="131"/>
    <cellStyle name="Hyperlink 5" xfId="132"/>
    <cellStyle name="Invoer" xfId="133"/>
    <cellStyle name="Invoer 2" xfId="134"/>
    <cellStyle name="Invoer 3" xfId="135"/>
    <cellStyle name="Invoer 4" xfId="136"/>
    <cellStyle name="Comma" xfId="137"/>
    <cellStyle name="Comma [0]" xfId="138"/>
    <cellStyle name="Komma 2" xfId="139"/>
    <cellStyle name="Komma 2 2" xfId="140"/>
    <cellStyle name="Komma 2 2 2" xfId="141"/>
    <cellStyle name="Komma 2 2 2 2" xfId="142"/>
    <cellStyle name="Komma 2 2 3" xfId="143"/>
    <cellStyle name="Komma 2 2 4" xfId="144"/>
    <cellStyle name="Komma 2 2 5" xfId="145"/>
    <cellStyle name="Komma 2 2 6" xfId="146"/>
    <cellStyle name="Komma 2 3" xfId="147"/>
    <cellStyle name="Komma 2 3 2" xfId="148"/>
    <cellStyle name="Komma 2 4" xfId="149"/>
    <cellStyle name="Komma 2 4 2" xfId="150"/>
    <cellStyle name="Komma 2 5" xfId="151"/>
    <cellStyle name="Komma 2 5 2" xfId="152"/>
    <cellStyle name="Komma 2 6" xfId="153"/>
    <cellStyle name="Komma 2 7" xfId="154"/>
    <cellStyle name="Komma 2 8" xfId="155"/>
    <cellStyle name="Komma 2 9" xfId="156"/>
    <cellStyle name="Kop 1" xfId="157"/>
    <cellStyle name="Kop 1 2" xfId="158"/>
    <cellStyle name="Kop 2" xfId="159"/>
    <cellStyle name="Kop 2 2" xfId="160"/>
    <cellStyle name="Kop 3" xfId="161"/>
    <cellStyle name="Kop 3 2" xfId="162"/>
    <cellStyle name="Kop 4" xfId="163"/>
    <cellStyle name="Kop 4 2" xfId="164"/>
    <cellStyle name="Labels - Opmaakprofiel3" xfId="165"/>
    <cellStyle name="Neutraal" xfId="166"/>
    <cellStyle name="Neutraal 2" xfId="167"/>
    <cellStyle name="Neutraal 3" xfId="168"/>
    <cellStyle name="Notitie" xfId="169"/>
    <cellStyle name="Notitie 2" xfId="170"/>
    <cellStyle name="Notitie 3" xfId="171"/>
    <cellStyle name="Ongeldig" xfId="172"/>
    <cellStyle name="Ongeldig 2" xfId="173"/>
    <cellStyle name="Ongeldig 3" xfId="174"/>
    <cellStyle name="Ongeldig 4" xfId="175"/>
    <cellStyle name="Percent" xfId="176"/>
    <cellStyle name="Procent 2" xfId="177"/>
    <cellStyle name="Procent 2 2" xfId="178"/>
    <cellStyle name="Procent 2 2 2" xfId="179"/>
    <cellStyle name="Procent 3" xfId="180"/>
    <cellStyle name="Reset  - Opmaakprofiel7" xfId="181"/>
    <cellStyle name="Standaard 10" xfId="182"/>
    <cellStyle name="Standaard 10 10 2 2" xfId="183"/>
    <cellStyle name="Standaard 10 2" xfId="184"/>
    <cellStyle name="Standaard 11" xfId="185"/>
    <cellStyle name="Standaard 12" xfId="186"/>
    <cellStyle name="Standaard 13" xfId="187"/>
    <cellStyle name="Standaard 14" xfId="188"/>
    <cellStyle name="Standaard 15" xfId="189"/>
    <cellStyle name="Standaard 16" xfId="190"/>
    <cellStyle name="Standaard 2" xfId="191"/>
    <cellStyle name="Standaard 2 2" xfId="192"/>
    <cellStyle name="Standaard 2 3" xfId="193"/>
    <cellStyle name="Standaard 2 3 10" xfId="194"/>
    <cellStyle name="Standaard 2 3 11" xfId="195"/>
    <cellStyle name="Standaard 2 3 2" xfId="196"/>
    <cellStyle name="Standaard 2 3 2 2" xfId="197"/>
    <cellStyle name="Standaard 2 3 2 2 2" xfId="198"/>
    <cellStyle name="Standaard 2 3 2 3" xfId="199"/>
    <cellStyle name="Standaard 2 3 3" xfId="200"/>
    <cellStyle name="Standaard 2 3 3 2" xfId="201"/>
    <cellStyle name="Standaard 2 3 3 2 2" xfId="202"/>
    <cellStyle name="Standaard 2 3 3 3" xfId="203"/>
    <cellStyle name="Standaard 2 3 4" xfId="204"/>
    <cellStyle name="Standaard 2 3 4 2" xfId="205"/>
    <cellStyle name="Standaard 2 3 5" xfId="206"/>
    <cellStyle name="Standaard 2 3 5 2" xfId="207"/>
    <cellStyle name="Standaard 2 3 6" xfId="208"/>
    <cellStyle name="Standaard 2 3 6 2" xfId="209"/>
    <cellStyle name="Standaard 2 3 7" xfId="210"/>
    <cellStyle name="Standaard 2 3 7 2" xfId="211"/>
    <cellStyle name="Standaard 2 3 8" xfId="212"/>
    <cellStyle name="Standaard 2 3 9" xfId="213"/>
    <cellStyle name="Standaard 2 4" xfId="214"/>
    <cellStyle name="Standaard 2 4 2" xfId="215"/>
    <cellStyle name="Standaard 2 4 3" xfId="216"/>
    <cellStyle name="Standaard 2 5" xfId="217"/>
    <cellStyle name="Standaard 2 5 2" xfId="218"/>
    <cellStyle name="Standaard 2 5 3" xfId="219"/>
    <cellStyle name="Standaard 2 6" xfId="220"/>
    <cellStyle name="Standaard 20" xfId="221"/>
    <cellStyle name="Standaard 24" xfId="222"/>
    <cellStyle name="Standaard 25" xfId="223"/>
    <cellStyle name="Standaard 3" xfId="224"/>
    <cellStyle name="Standaard 3 2" xfId="225"/>
    <cellStyle name="Standaard 3 2 2" xfId="226"/>
    <cellStyle name="Standaard 3 2 3" xfId="227"/>
    <cellStyle name="Standaard 3 2 3 2" xfId="228"/>
    <cellStyle name="Standaard 3 2 3 2 2" xfId="229"/>
    <cellStyle name="Standaard 3 2 3 3" xfId="230"/>
    <cellStyle name="Standaard 3 2 4" xfId="231"/>
    <cellStyle name="Standaard 3 2 4 2" xfId="232"/>
    <cellStyle name="Standaard 3 2 5" xfId="233"/>
    <cellStyle name="Standaard 3 3" xfId="234"/>
    <cellStyle name="Standaard 3 3 2" xfId="235"/>
    <cellStyle name="Standaard 3 3 3" xfId="236"/>
    <cellStyle name="Standaard 3 4" xfId="237"/>
    <cellStyle name="Standaard 3 4 2" xfId="238"/>
    <cellStyle name="Standaard 3 4 2 2" xfId="239"/>
    <cellStyle name="Standaard 3 4 3" xfId="240"/>
    <cellStyle name="Standaard 3 5" xfId="241"/>
    <cellStyle name="Standaard 3 6" xfId="242"/>
    <cellStyle name="Standaard 3 6 2" xfId="243"/>
    <cellStyle name="Standaard 3 7" xfId="244"/>
    <cellStyle name="Standaard 3 8" xfId="245"/>
    <cellStyle name="Standaard 4" xfId="246"/>
    <cellStyle name="Standaard 4 10" xfId="247"/>
    <cellStyle name="Standaard 4 2" xfId="248"/>
    <cellStyle name="Standaard 4 2 2" xfId="249"/>
    <cellStyle name="Standaard 4 2 2 2" xfId="250"/>
    <cellStyle name="Standaard 4 2 3" xfId="251"/>
    <cellStyle name="Standaard 4 3" xfId="252"/>
    <cellStyle name="Standaard 4 3 2" xfId="253"/>
    <cellStyle name="Standaard 4 3 2 2" xfId="254"/>
    <cellStyle name="Standaard 4 3 3" xfId="255"/>
    <cellStyle name="Standaard 4 4" xfId="256"/>
    <cellStyle name="Standaard 4 4 2" xfId="257"/>
    <cellStyle name="Standaard 4 4 2 2" xfId="258"/>
    <cellStyle name="Standaard 4 4 3" xfId="259"/>
    <cellStyle name="Standaard 4 5" xfId="260"/>
    <cellStyle name="Standaard 4 5 2" xfId="261"/>
    <cellStyle name="Standaard 4 6" xfId="262"/>
    <cellStyle name="Standaard 4 6 2" xfId="263"/>
    <cellStyle name="Standaard 4 7" xfId="264"/>
    <cellStyle name="Standaard 4 7 2" xfId="265"/>
    <cellStyle name="Standaard 4 8" xfId="266"/>
    <cellStyle name="Standaard 4 9" xfId="267"/>
    <cellStyle name="Standaard 5" xfId="268"/>
    <cellStyle name="Standaard 5 10" xfId="269"/>
    <cellStyle name="Standaard 5 11" xfId="270"/>
    <cellStyle name="Standaard 5 12" xfId="271"/>
    <cellStyle name="Standaard 5 2" xfId="272"/>
    <cellStyle name="Standaard 5 2 2" xfId="273"/>
    <cellStyle name="Standaard 5 3" xfId="274"/>
    <cellStyle name="Standaard 5 3 2" xfId="275"/>
    <cellStyle name="Standaard 5 3 3" xfId="276"/>
    <cellStyle name="Standaard 5 3 3 2" xfId="277"/>
    <cellStyle name="Standaard 5 3 4" xfId="278"/>
    <cellStyle name="Standaard 5 4" xfId="279"/>
    <cellStyle name="Standaard 5 4 2" xfId="280"/>
    <cellStyle name="Standaard 5 4 2 2" xfId="281"/>
    <cellStyle name="Standaard 5 4 3" xfId="282"/>
    <cellStyle name="Standaard 5 5" xfId="283"/>
    <cellStyle name="Standaard 5 5 2" xfId="284"/>
    <cellStyle name="Standaard 5 5 2 2" xfId="285"/>
    <cellStyle name="Standaard 5 5 3" xfId="286"/>
    <cellStyle name="Standaard 5 6" xfId="287"/>
    <cellStyle name="Standaard 5 6 2" xfId="288"/>
    <cellStyle name="Standaard 5 7" xfId="289"/>
    <cellStyle name="Standaard 5 7 2" xfId="290"/>
    <cellStyle name="Standaard 5 8" xfId="291"/>
    <cellStyle name="Standaard 5 8 2" xfId="292"/>
    <cellStyle name="Standaard 5 9" xfId="293"/>
    <cellStyle name="Standaard 6" xfId="294"/>
    <cellStyle name="Standaard 7" xfId="295"/>
    <cellStyle name="Standaard 7 2" xfId="296"/>
    <cellStyle name="Standaard 8" xfId="297"/>
    <cellStyle name="Standaard 8 2" xfId="298"/>
    <cellStyle name="Standaard 8 3" xfId="299"/>
    <cellStyle name="Standaard 8 3 2" xfId="300"/>
    <cellStyle name="Standaard 8 4" xfId="301"/>
    <cellStyle name="Standaard 8 5" xfId="302"/>
    <cellStyle name="Standaard 9" xfId="303"/>
    <cellStyle name="Standaard 9 2" xfId="304"/>
    <cellStyle name="Table  - Opmaakprofiel6" xfId="305"/>
    <cellStyle name="Titel" xfId="306"/>
    <cellStyle name="Titel 2" xfId="307"/>
    <cellStyle name="Title  - Opmaakprofiel1" xfId="308"/>
    <cellStyle name="Totaal" xfId="309"/>
    <cellStyle name="Totaal 2" xfId="310"/>
    <cellStyle name="Totaal 3" xfId="311"/>
    <cellStyle name="TotCol - Opmaakprofiel5" xfId="312"/>
    <cellStyle name="TotRow - Opmaakprofiel4" xfId="313"/>
    <cellStyle name="Uitvoer" xfId="314"/>
    <cellStyle name="Uitvoer 2" xfId="315"/>
    <cellStyle name="Uitvoer 3" xfId="316"/>
    <cellStyle name="Uitvoer 4" xfId="317"/>
    <cellStyle name="Currency" xfId="318"/>
    <cellStyle name="Currency [0]" xfId="319"/>
    <cellStyle name="Valuta 2" xfId="320"/>
    <cellStyle name="Verklarende tekst" xfId="321"/>
    <cellStyle name="Verklarende tekst 2" xfId="322"/>
    <cellStyle name="Verklarende tekst 3" xfId="323"/>
    <cellStyle name="Verklarende tekst 4" xfId="324"/>
    <cellStyle name="Waarschuwingstekst" xfId="325"/>
    <cellStyle name="Waarschuwingstekst 2" xfId="326"/>
    <cellStyle name="Waarschuwingstekst 3" xfId="3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NResources.local\GROUPS\011256\Actuarial%20Support%20CP\Schaduwrekenboxen\SRB_MSG\TO_Werkzaamheden\Tariefstaten\NNCP_Tarief_D021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Data\Klanten\F\F5%20Projectengroep%20(Grasso)\Eblinc\berekeningssheet_interpolatie_leeftijd_PP_WzP_F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jvan\Downloads\Tarieftabel%20EBLinc_middelloon%20NN%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Klanten\F\F5%20Projectengroep%20(Grasso)\Eblinc\berekeningssheet_interpolatie_leeftijd_PP_WzP_F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ofdblad"/>
      <sheetName val="Werkblad"/>
      <sheetName val="Tarief_Voorbeeld"/>
      <sheetName val="ActRunLog"/>
      <sheetName val="Tafels"/>
      <sheetName val="Lft_corr"/>
      <sheetName val="Freqs"/>
      <sheetName val="Parameters"/>
    </sheetNames>
    <sheetDataSet>
      <sheetData sheetId="0">
        <row r="1">
          <cell r="M1" t="str">
            <v>1: Stortings-/Risicokoopsom</v>
          </cell>
        </row>
        <row r="2">
          <cell r="M2" t="str">
            <v>2: Bruto- / Risicokoopsom</v>
          </cell>
        </row>
        <row r="3">
          <cell r="M3" t="str">
            <v>3: NKBO</v>
          </cell>
        </row>
        <row r="4">
          <cell r="M4" t="str">
            <v>4: Nettokoopsom</v>
          </cell>
        </row>
        <row r="5">
          <cell r="C5" t="str">
            <v>Comfortpensioen</v>
          </cell>
        </row>
      </sheetData>
      <sheetData sheetId="7">
        <row r="14">
          <cell r="B14" t="str">
            <v>COLL2013</v>
          </cell>
        </row>
        <row r="15">
          <cell r="B15" t="str">
            <v>COLL2011</v>
          </cell>
        </row>
        <row r="16">
          <cell r="B16" t="str">
            <v>COLL2009+</v>
          </cell>
        </row>
        <row r="17">
          <cell r="B17" t="str">
            <v>COLL2009</v>
          </cell>
        </row>
        <row r="18">
          <cell r="B18" t="str">
            <v>COLL2003</v>
          </cell>
        </row>
        <row r="19">
          <cell r="B19" t="str">
            <v>COLL1993</v>
          </cell>
        </row>
        <row r="20">
          <cell r="B20" t="str">
            <v>COLL1993OTS</v>
          </cell>
        </row>
        <row r="21">
          <cell r="B21" t="str">
            <v>CONV70</v>
          </cell>
        </row>
        <row r="22">
          <cell r="B22" t="str">
            <v>NORM70</v>
          </cell>
        </row>
        <row r="23">
          <cell r="B23" t="str">
            <v>CONV84</v>
          </cell>
        </row>
        <row r="24">
          <cell r="B24" t="str">
            <v>NORM84</v>
          </cell>
        </row>
        <row r="25">
          <cell r="B25" t="str">
            <v>GB8085</v>
          </cell>
        </row>
        <row r="26">
          <cell r="B26" t="str">
            <v>GB8590</v>
          </cell>
        </row>
        <row r="27">
          <cell r="B27" t="str">
            <v>GB9095</v>
          </cell>
        </row>
        <row r="28">
          <cell r="B28" t="str">
            <v>GB9500</v>
          </cell>
        </row>
        <row r="29">
          <cell r="B29" t="str">
            <v>GB0005</v>
          </cell>
        </row>
        <row r="30">
          <cell r="B30" t="str">
            <v>GB0510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PUT"/>
      <sheetName val="INPUT"/>
      <sheetName val="ber premie"/>
      <sheetName val="reken PPWz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
      <sheetName val="INPUT"/>
      <sheetName val="TariefInvoer"/>
      <sheetName val="Bereken OP|PP|WzP"/>
      <sheetName val="OP oud"/>
      <sheetName val="Berekenen premies"/>
      <sheetName val="Bierens Machinefabrieken"/>
    </sheetNames>
    <sheetDataSet>
      <sheetData sheetId="0">
        <row r="2">
          <cell r="M2">
            <v>1048.64509568</v>
          </cell>
          <cell r="P2">
            <v>16.951237184000004</v>
          </cell>
        </row>
      </sheetData>
      <sheetData sheetId="1">
        <row r="2">
          <cell r="R2" t="str">
            <v>Vrouw</v>
          </cell>
          <cell r="S2">
            <v>25194</v>
          </cell>
          <cell r="AD2">
            <v>41173</v>
          </cell>
          <cell r="AG2">
            <v>100</v>
          </cell>
          <cell r="AH2">
            <v>109166.1</v>
          </cell>
          <cell r="AY2">
            <v>72222</v>
          </cell>
          <cell r="AZ2">
            <v>72222</v>
          </cell>
          <cell r="BA2">
            <v>109166.1</v>
          </cell>
        </row>
      </sheetData>
      <sheetData sheetId="6">
        <row r="3">
          <cell r="A3">
            <v>16</v>
          </cell>
          <cell r="B3">
            <v>0</v>
          </cell>
          <cell r="C3">
            <v>50</v>
          </cell>
          <cell r="D3">
            <v>11</v>
          </cell>
          <cell r="E3">
            <v>4982</v>
          </cell>
          <cell r="F3">
            <v>1868</v>
          </cell>
          <cell r="G3">
            <v>719</v>
          </cell>
          <cell r="H3">
            <v>5348</v>
          </cell>
          <cell r="I3">
            <v>953</v>
          </cell>
          <cell r="J3">
            <v>451</v>
          </cell>
        </row>
        <row r="4">
          <cell r="A4">
            <v>17</v>
          </cell>
          <cell r="B4">
            <v>0</v>
          </cell>
          <cell r="C4">
            <v>49</v>
          </cell>
          <cell r="D4">
            <v>11</v>
          </cell>
          <cell r="E4">
            <v>5106</v>
          </cell>
          <cell r="F4">
            <v>1914</v>
          </cell>
          <cell r="G4">
            <v>708</v>
          </cell>
          <cell r="H4">
            <v>5482</v>
          </cell>
          <cell r="I4">
            <v>977</v>
          </cell>
          <cell r="J4">
            <v>444</v>
          </cell>
        </row>
        <row r="5">
          <cell r="A5">
            <v>18</v>
          </cell>
          <cell r="B5">
            <v>0</v>
          </cell>
          <cell r="C5">
            <v>48</v>
          </cell>
          <cell r="D5">
            <v>11</v>
          </cell>
          <cell r="E5">
            <v>5236</v>
          </cell>
          <cell r="F5">
            <v>1963</v>
          </cell>
          <cell r="G5">
            <v>697</v>
          </cell>
          <cell r="H5">
            <v>5620</v>
          </cell>
          <cell r="I5">
            <v>1001</v>
          </cell>
          <cell r="J5">
            <v>436</v>
          </cell>
        </row>
        <row r="6">
          <cell r="A6">
            <v>19</v>
          </cell>
          <cell r="B6">
            <v>0</v>
          </cell>
          <cell r="C6">
            <v>47</v>
          </cell>
          <cell r="D6">
            <v>11</v>
          </cell>
          <cell r="E6">
            <v>5366</v>
          </cell>
          <cell r="F6">
            <v>2011</v>
          </cell>
          <cell r="G6">
            <v>684</v>
          </cell>
          <cell r="H6">
            <v>5761</v>
          </cell>
          <cell r="I6">
            <v>1028</v>
          </cell>
          <cell r="J6">
            <v>429</v>
          </cell>
        </row>
        <row r="7">
          <cell r="A7">
            <v>20</v>
          </cell>
          <cell r="B7">
            <v>0</v>
          </cell>
          <cell r="C7">
            <v>46</v>
          </cell>
          <cell r="D7">
            <v>11</v>
          </cell>
          <cell r="E7">
            <v>5500</v>
          </cell>
          <cell r="F7">
            <v>2113</v>
          </cell>
          <cell r="G7">
            <v>673</v>
          </cell>
          <cell r="H7">
            <v>5904</v>
          </cell>
          <cell r="I7">
            <v>1053</v>
          </cell>
          <cell r="J7">
            <v>421</v>
          </cell>
        </row>
        <row r="8">
          <cell r="A8">
            <v>21</v>
          </cell>
          <cell r="B8">
            <v>0</v>
          </cell>
          <cell r="C8">
            <v>45</v>
          </cell>
          <cell r="D8">
            <v>11</v>
          </cell>
          <cell r="E8">
            <v>5640</v>
          </cell>
          <cell r="F8">
            <v>2164</v>
          </cell>
          <cell r="G8">
            <v>660</v>
          </cell>
          <cell r="H8">
            <v>6053</v>
          </cell>
          <cell r="I8">
            <v>1130</v>
          </cell>
          <cell r="J8">
            <v>413</v>
          </cell>
        </row>
        <row r="9">
          <cell r="A9">
            <v>22</v>
          </cell>
          <cell r="B9">
            <v>0</v>
          </cell>
          <cell r="C9">
            <v>44</v>
          </cell>
          <cell r="D9">
            <v>11</v>
          </cell>
          <cell r="E9">
            <v>5780</v>
          </cell>
          <cell r="F9">
            <v>2214</v>
          </cell>
          <cell r="G9">
            <v>648</v>
          </cell>
          <cell r="H9">
            <v>6205</v>
          </cell>
          <cell r="I9">
            <v>1155</v>
          </cell>
          <cell r="J9">
            <v>406</v>
          </cell>
        </row>
        <row r="10">
          <cell r="A10">
            <v>23</v>
          </cell>
          <cell r="B10">
            <v>0</v>
          </cell>
          <cell r="C10">
            <v>43</v>
          </cell>
          <cell r="D10">
            <v>11</v>
          </cell>
          <cell r="E10">
            <v>5925</v>
          </cell>
          <cell r="F10">
            <v>2266</v>
          </cell>
          <cell r="G10">
            <v>637</v>
          </cell>
          <cell r="H10">
            <v>6360</v>
          </cell>
          <cell r="I10">
            <v>1181</v>
          </cell>
          <cell r="J10">
            <v>398</v>
          </cell>
        </row>
        <row r="11">
          <cell r="A11">
            <v>24</v>
          </cell>
          <cell r="B11">
            <v>0</v>
          </cell>
          <cell r="C11">
            <v>42</v>
          </cell>
          <cell r="D11">
            <v>11</v>
          </cell>
          <cell r="E11">
            <v>6074</v>
          </cell>
          <cell r="F11">
            <v>2366</v>
          </cell>
          <cell r="G11">
            <v>624</v>
          </cell>
          <cell r="H11">
            <v>6519</v>
          </cell>
          <cell r="I11">
            <v>1207</v>
          </cell>
          <cell r="J11">
            <v>390</v>
          </cell>
        </row>
        <row r="12">
          <cell r="A12">
            <v>25</v>
          </cell>
          <cell r="B12">
            <v>0</v>
          </cell>
          <cell r="C12">
            <v>41</v>
          </cell>
          <cell r="D12">
            <v>11</v>
          </cell>
          <cell r="E12">
            <v>6227</v>
          </cell>
          <cell r="F12">
            <v>2417</v>
          </cell>
          <cell r="G12">
            <v>612</v>
          </cell>
          <cell r="H12">
            <v>6682</v>
          </cell>
          <cell r="I12">
            <v>1280</v>
          </cell>
          <cell r="J12">
            <v>382</v>
          </cell>
        </row>
        <row r="13">
          <cell r="A13">
            <v>26</v>
          </cell>
          <cell r="B13">
            <v>0</v>
          </cell>
          <cell r="C13">
            <v>40</v>
          </cell>
          <cell r="D13">
            <v>11</v>
          </cell>
          <cell r="E13">
            <v>6383</v>
          </cell>
          <cell r="F13">
            <v>2515</v>
          </cell>
          <cell r="G13">
            <v>599</v>
          </cell>
          <cell r="H13">
            <v>6850</v>
          </cell>
          <cell r="I13">
            <v>1306</v>
          </cell>
          <cell r="J13">
            <v>376</v>
          </cell>
        </row>
        <row r="14">
          <cell r="A14">
            <v>27</v>
          </cell>
          <cell r="B14">
            <v>0</v>
          </cell>
          <cell r="C14">
            <v>39</v>
          </cell>
          <cell r="D14">
            <v>11</v>
          </cell>
          <cell r="E14">
            <v>6544</v>
          </cell>
          <cell r="F14">
            <v>2615</v>
          </cell>
          <cell r="G14">
            <v>587</v>
          </cell>
          <cell r="H14">
            <v>7022</v>
          </cell>
          <cell r="I14">
            <v>1332</v>
          </cell>
          <cell r="J14">
            <v>368</v>
          </cell>
        </row>
        <row r="15">
          <cell r="A15">
            <v>28</v>
          </cell>
          <cell r="B15">
            <v>0</v>
          </cell>
          <cell r="C15">
            <v>38</v>
          </cell>
          <cell r="D15">
            <v>11</v>
          </cell>
          <cell r="E15">
            <v>6708</v>
          </cell>
          <cell r="F15">
            <v>2667</v>
          </cell>
          <cell r="G15">
            <v>574</v>
          </cell>
          <cell r="H15">
            <v>7198</v>
          </cell>
          <cell r="I15">
            <v>1361</v>
          </cell>
          <cell r="J15">
            <v>360</v>
          </cell>
        </row>
        <row r="16">
          <cell r="A16">
            <v>29</v>
          </cell>
          <cell r="B16">
            <v>0</v>
          </cell>
          <cell r="C16">
            <v>37</v>
          </cell>
          <cell r="D16">
            <v>11</v>
          </cell>
          <cell r="E16">
            <v>6876</v>
          </cell>
          <cell r="F16">
            <v>2721</v>
          </cell>
          <cell r="G16">
            <v>562</v>
          </cell>
          <cell r="H16">
            <v>7375</v>
          </cell>
          <cell r="I16">
            <v>1388</v>
          </cell>
          <cell r="J16">
            <v>352</v>
          </cell>
        </row>
        <row r="17">
          <cell r="A17">
            <v>30</v>
          </cell>
          <cell r="B17">
            <v>0</v>
          </cell>
          <cell r="C17">
            <v>36</v>
          </cell>
          <cell r="D17">
            <v>11</v>
          </cell>
          <cell r="E17">
            <v>7051</v>
          </cell>
          <cell r="F17">
            <v>2777</v>
          </cell>
          <cell r="G17">
            <v>549</v>
          </cell>
          <cell r="H17">
            <v>7561</v>
          </cell>
          <cell r="I17">
            <v>1415</v>
          </cell>
          <cell r="J17">
            <v>344</v>
          </cell>
        </row>
        <row r="18">
          <cell r="A18">
            <v>31</v>
          </cell>
          <cell r="B18">
            <v>0</v>
          </cell>
          <cell r="C18">
            <v>35</v>
          </cell>
          <cell r="D18">
            <v>11</v>
          </cell>
          <cell r="E18">
            <v>7227</v>
          </cell>
          <cell r="F18">
            <v>2835</v>
          </cell>
          <cell r="G18">
            <v>535</v>
          </cell>
          <cell r="H18">
            <v>7752</v>
          </cell>
          <cell r="I18">
            <v>1523</v>
          </cell>
          <cell r="J18">
            <v>336</v>
          </cell>
        </row>
        <row r="19">
          <cell r="A19">
            <v>32</v>
          </cell>
          <cell r="B19">
            <v>0</v>
          </cell>
          <cell r="C19">
            <v>34</v>
          </cell>
          <cell r="D19">
            <v>11</v>
          </cell>
          <cell r="E19">
            <v>7409</v>
          </cell>
          <cell r="F19">
            <v>2891</v>
          </cell>
          <cell r="G19">
            <v>523</v>
          </cell>
          <cell r="H19">
            <v>7946</v>
          </cell>
          <cell r="I19">
            <v>1548</v>
          </cell>
          <cell r="J19">
            <v>328</v>
          </cell>
        </row>
        <row r="20">
          <cell r="A20">
            <v>33</v>
          </cell>
          <cell r="B20">
            <v>0</v>
          </cell>
          <cell r="C20">
            <v>33</v>
          </cell>
          <cell r="D20">
            <v>11</v>
          </cell>
          <cell r="E20">
            <v>7595</v>
          </cell>
          <cell r="F20">
            <v>3025</v>
          </cell>
          <cell r="G20">
            <v>509</v>
          </cell>
          <cell r="H20">
            <v>8144</v>
          </cell>
          <cell r="I20">
            <v>1574</v>
          </cell>
          <cell r="J20">
            <v>319</v>
          </cell>
        </row>
        <row r="21">
          <cell r="A21">
            <v>34</v>
          </cell>
          <cell r="B21">
            <v>0</v>
          </cell>
          <cell r="C21">
            <v>32</v>
          </cell>
          <cell r="D21">
            <v>11</v>
          </cell>
          <cell r="E21">
            <v>7787</v>
          </cell>
          <cell r="F21">
            <v>3084</v>
          </cell>
          <cell r="G21">
            <v>497</v>
          </cell>
          <cell r="H21">
            <v>8348</v>
          </cell>
          <cell r="I21">
            <v>1672</v>
          </cell>
          <cell r="J21">
            <v>311</v>
          </cell>
        </row>
        <row r="22">
          <cell r="A22">
            <v>35</v>
          </cell>
          <cell r="B22">
            <v>0</v>
          </cell>
          <cell r="C22">
            <v>31</v>
          </cell>
          <cell r="D22">
            <v>11</v>
          </cell>
          <cell r="E22">
            <v>7984</v>
          </cell>
          <cell r="F22">
            <v>3140</v>
          </cell>
          <cell r="G22">
            <v>483</v>
          </cell>
          <cell r="H22">
            <v>8558</v>
          </cell>
          <cell r="I22">
            <v>1697</v>
          </cell>
          <cell r="J22">
            <v>303</v>
          </cell>
        </row>
        <row r="23">
          <cell r="A23">
            <v>36</v>
          </cell>
          <cell r="B23">
            <v>0</v>
          </cell>
          <cell r="C23">
            <v>30</v>
          </cell>
          <cell r="D23">
            <v>11</v>
          </cell>
          <cell r="E23">
            <v>8185</v>
          </cell>
          <cell r="F23">
            <v>3235</v>
          </cell>
          <cell r="G23">
            <v>470</v>
          </cell>
          <cell r="H23">
            <v>8774</v>
          </cell>
          <cell r="I23">
            <v>1788</v>
          </cell>
          <cell r="J23">
            <v>295</v>
          </cell>
        </row>
        <row r="24">
          <cell r="A24">
            <v>37</v>
          </cell>
          <cell r="B24">
            <v>0</v>
          </cell>
          <cell r="C24">
            <v>29</v>
          </cell>
          <cell r="D24">
            <v>11</v>
          </cell>
          <cell r="E24">
            <v>8391</v>
          </cell>
          <cell r="F24">
            <v>3358</v>
          </cell>
          <cell r="G24">
            <v>457</v>
          </cell>
          <cell r="H24">
            <v>8994</v>
          </cell>
          <cell r="I24">
            <v>1809</v>
          </cell>
          <cell r="J24">
            <v>286</v>
          </cell>
        </row>
        <row r="25">
          <cell r="A25">
            <v>38</v>
          </cell>
          <cell r="B25">
            <v>0</v>
          </cell>
          <cell r="C25">
            <v>28</v>
          </cell>
          <cell r="D25">
            <v>11</v>
          </cell>
          <cell r="E25">
            <v>8604</v>
          </cell>
          <cell r="F25">
            <v>3417</v>
          </cell>
          <cell r="G25">
            <v>443</v>
          </cell>
          <cell r="H25">
            <v>9220</v>
          </cell>
          <cell r="I25">
            <v>1830</v>
          </cell>
          <cell r="J25">
            <v>278</v>
          </cell>
        </row>
        <row r="26">
          <cell r="A26">
            <v>39</v>
          </cell>
          <cell r="B26">
            <v>0</v>
          </cell>
          <cell r="C26">
            <v>27</v>
          </cell>
          <cell r="D26">
            <v>11</v>
          </cell>
          <cell r="E26">
            <v>8821</v>
          </cell>
          <cell r="F26">
            <v>3536</v>
          </cell>
          <cell r="G26">
            <v>430</v>
          </cell>
          <cell r="H26">
            <v>9453</v>
          </cell>
          <cell r="I26">
            <v>1911</v>
          </cell>
          <cell r="J26">
            <v>269</v>
          </cell>
        </row>
        <row r="27">
          <cell r="A27">
            <v>40</v>
          </cell>
          <cell r="B27">
            <v>0</v>
          </cell>
          <cell r="C27">
            <v>26</v>
          </cell>
          <cell r="D27">
            <v>11</v>
          </cell>
          <cell r="E27">
            <v>9042</v>
          </cell>
          <cell r="F27">
            <v>3592</v>
          </cell>
          <cell r="G27">
            <v>416</v>
          </cell>
          <cell r="H27">
            <v>9692</v>
          </cell>
          <cell r="I27">
            <v>1988</v>
          </cell>
          <cell r="J27">
            <v>260</v>
          </cell>
        </row>
        <row r="28">
          <cell r="A28">
            <v>41</v>
          </cell>
          <cell r="B28">
            <v>0</v>
          </cell>
          <cell r="C28">
            <v>25</v>
          </cell>
          <cell r="D28">
            <v>11</v>
          </cell>
          <cell r="E28">
            <v>9273</v>
          </cell>
          <cell r="F28">
            <v>3707</v>
          </cell>
          <cell r="G28">
            <v>401</v>
          </cell>
          <cell r="H28">
            <v>9938</v>
          </cell>
          <cell r="I28">
            <v>2004</v>
          </cell>
          <cell r="J28">
            <v>251</v>
          </cell>
        </row>
        <row r="29">
          <cell r="A29">
            <v>42</v>
          </cell>
          <cell r="B29">
            <v>0</v>
          </cell>
          <cell r="C29">
            <v>24</v>
          </cell>
          <cell r="D29">
            <v>11</v>
          </cell>
          <cell r="E29">
            <v>9508</v>
          </cell>
          <cell r="F29">
            <v>3815</v>
          </cell>
          <cell r="G29">
            <v>388</v>
          </cell>
          <cell r="H29">
            <v>10191</v>
          </cell>
          <cell r="I29">
            <v>2046</v>
          </cell>
          <cell r="J29">
            <v>241</v>
          </cell>
        </row>
        <row r="30">
          <cell r="A30">
            <v>43</v>
          </cell>
          <cell r="B30">
            <v>0</v>
          </cell>
          <cell r="C30">
            <v>23</v>
          </cell>
          <cell r="D30">
            <v>11</v>
          </cell>
          <cell r="E30">
            <v>9749</v>
          </cell>
          <cell r="F30">
            <v>3870</v>
          </cell>
          <cell r="G30">
            <v>374</v>
          </cell>
          <cell r="H30">
            <v>10448</v>
          </cell>
          <cell r="I30">
            <v>2112</v>
          </cell>
          <cell r="J30">
            <v>234</v>
          </cell>
        </row>
        <row r="31">
          <cell r="A31">
            <v>44</v>
          </cell>
          <cell r="B31">
            <v>0</v>
          </cell>
          <cell r="C31">
            <v>22</v>
          </cell>
          <cell r="D31">
            <v>11</v>
          </cell>
          <cell r="E31">
            <v>9999</v>
          </cell>
          <cell r="F31">
            <v>3974</v>
          </cell>
          <cell r="G31">
            <v>359</v>
          </cell>
          <cell r="H31">
            <v>10711</v>
          </cell>
          <cell r="I31">
            <v>2172</v>
          </cell>
          <cell r="J31">
            <v>224</v>
          </cell>
        </row>
        <row r="32">
          <cell r="A32">
            <v>45</v>
          </cell>
          <cell r="B32">
            <v>0</v>
          </cell>
          <cell r="C32">
            <v>21</v>
          </cell>
          <cell r="D32">
            <v>11</v>
          </cell>
          <cell r="E32">
            <v>10251</v>
          </cell>
          <cell r="F32">
            <v>4073</v>
          </cell>
          <cell r="G32">
            <v>345</v>
          </cell>
          <cell r="H32">
            <v>10986</v>
          </cell>
          <cell r="I32">
            <v>2203</v>
          </cell>
          <cell r="J32">
            <v>215</v>
          </cell>
        </row>
        <row r="33">
          <cell r="A33">
            <v>46</v>
          </cell>
          <cell r="B33">
            <v>0</v>
          </cell>
          <cell r="C33">
            <v>20</v>
          </cell>
          <cell r="D33">
            <v>11</v>
          </cell>
          <cell r="E33">
            <v>10514</v>
          </cell>
          <cell r="F33">
            <v>4168</v>
          </cell>
          <cell r="G33">
            <v>331</v>
          </cell>
          <cell r="H33">
            <v>11266</v>
          </cell>
          <cell r="I33">
            <v>2254</v>
          </cell>
          <cell r="J33">
            <v>206</v>
          </cell>
        </row>
        <row r="34">
          <cell r="A34">
            <v>47</v>
          </cell>
          <cell r="B34">
            <v>0</v>
          </cell>
          <cell r="C34">
            <v>19</v>
          </cell>
          <cell r="D34">
            <v>11</v>
          </cell>
          <cell r="E34">
            <v>10784</v>
          </cell>
          <cell r="F34">
            <v>4300</v>
          </cell>
          <cell r="G34">
            <v>316</v>
          </cell>
          <cell r="H34">
            <v>11553</v>
          </cell>
          <cell r="I34">
            <v>2277</v>
          </cell>
          <cell r="J34">
            <v>197</v>
          </cell>
        </row>
        <row r="35">
          <cell r="A35">
            <v>48</v>
          </cell>
          <cell r="B35">
            <v>0</v>
          </cell>
          <cell r="C35">
            <v>18</v>
          </cell>
          <cell r="D35">
            <v>11</v>
          </cell>
          <cell r="E35">
            <v>11059</v>
          </cell>
          <cell r="F35">
            <v>4382</v>
          </cell>
          <cell r="G35">
            <v>301</v>
          </cell>
          <cell r="H35">
            <v>11851</v>
          </cell>
          <cell r="I35">
            <v>2316</v>
          </cell>
          <cell r="J35">
            <v>188</v>
          </cell>
        </row>
        <row r="36">
          <cell r="A36">
            <v>49</v>
          </cell>
          <cell r="B36">
            <v>0</v>
          </cell>
          <cell r="C36">
            <v>17</v>
          </cell>
          <cell r="D36">
            <v>11</v>
          </cell>
          <cell r="E36">
            <v>11346</v>
          </cell>
          <cell r="F36">
            <v>4479</v>
          </cell>
          <cell r="G36">
            <v>287</v>
          </cell>
          <cell r="H36">
            <v>12154</v>
          </cell>
          <cell r="I36">
            <v>2330</v>
          </cell>
          <cell r="J36">
            <v>179</v>
          </cell>
        </row>
        <row r="37">
          <cell r="A37">
            <v>50</v>
          </cell>
          <cell r="B37">
            <v>0</v>
          </cell>
          <cell r="C37">
            <v>16</v>
          </cell>
          <cell r="D37">
            <v>11</v>
          </cell>
          <cell r="E37">
            <v>11639</v>
          </cell>
          <cell r="F37">
            <v>4586</v>
          </cell>
          <cell r="G37">
            <v>272</v>
          </cell>
          <cell r="H37">
            <v>12469</v>
          </cell>
          <cell r="I37">
            <v>2342</v>
          </cell>
          <cell r="J37">
            <v>169</v>
          </cell>
        </row>
        <row r="38">
          <cell r="A38">
            <v>51</v>
          </cell>
          <cell r="B38">
            <v>0</v>
          </cell>
          <cell r="C38">
            <v>15</v>
          </cell>
          <cell r="D38">
            <v>11</v>
          </cell>
          <cell r="E38">
            <v>11939</v>
          </cell>
          <cell r="F38">
            <v>4683</v>
          </cell>
          <cell r="G38">
            <v>256</v>
          </cell>
          <cell r="H38">
            <v>12791</v>
          </cell>
          <cell r="I38">
            <v>2367</v>
          </cell>
          <cell r="J38">
            <v>160</v>
          </cell>
        </row>
        <row r="39">
          <cell r="A39">
            <v>52</v>
          </cell>
          <cell r="B39">
            <v>0</v>
          </cell>
          <cell r="C39">
            <v>14</v>
          </cell>
          <cell r="D39">
            <v>11</v>
          </cell>
          <cell r="E39">
            <v>12254</v>
          </cell>
          <cell r="F39">
            <v>4768</v>
          </cell>
          <cell r="G39">
            <v>241</v>
          </cell>
          <cell r="H39">
            <v>13124</v>
          </cell>
          <cell r="I39">
            <v>2388</v>
          </cell>
          <cell r="J39">
            <v>149</v>
          </cell>
        </row>
        <row r="40">
          <cell r="A40">
            <v>53</v>
          </cell>
          <cell r="B40">
            <v>0</v>
          </cell>
          <cell r="C40">
            <v>13</v>
          </cell>
          <cell r="D40">
            <v>11</v>
          </cell>
          <cell r="E40">
            <v>12573</v>
          </cell>
          <cell r="F40">
            <v>4843</v>
          </cell>
          <cell r="G40">
            <v>224</v>
          </cell>
          <cell r="H40">
            <v>13467</v>
          </cell>
          <cell r="I40">
            <v>2390</v>
          </cell>
          <cell r="J40">
            <v>140</v>
          </cell>
        </row>
        <row r="41">
          <cell r="A41">
            <v>54</v>
          </cell>
          <cell r="B41">
            <v>0</v>
          </cell>
          <cell r="C41">
            <v>12</v>
          </cell>
          <cell r="D41">
            <v>11</v>
          </cell>
          <cell r="E41">
            <v>12905</v>
          </cell>
          <cell r="F41">
            <v>4893</v>
          </cell>
          <cell r="G41">
            <v>208</v>
          </cell>
          <cell r="H41">
            <v>13820</v>
          </cell>
          <cell r="I41">
            <v>2412</v>
          </cell>
          <cell r="J41">
            <v>130</v>
          </cell>
        </row>
        <row r="42">
          <cell r="A42">
            <v>55</v>
          </cell>
          <cell r="B42">
            <v>0</v>
          </cell>
          <cell r="C42">
            <v>11</v>
          </cell>
          <cell r="D42">
            <v>11</v>
          </cell>
          <cell r="E42">
            <v>13247</v>
          </cell>
          <cell r="F42">
            <v>4958</v>
          </cell>
          <cell r="G42">
            <v>193</v>
          </cell>
          <cell r="H42">
            <v>14184</v>
          </cell>
          <cell r="I42">
            <v>2438</v>
          </cell>
          <cell r="J42">
            <v>121</v>
          </cell>
        </row>
        <row r="43">
          <cell r="A43">
            <v>56</v>
          </cell>
          <cell r="B43">
            <v>0</v>
          </cell>
          <cell r="C43">
            <v>10</v>
          </cell>
          <cell r="D43">
            <v>11</v>
          </cell>
          <cell r="E43">
            <v>13602</v>
          </cell>
          <cell r="F43">
            <v>5010</v>
          </cell>
          <cell r="G43">
            <v>178</v>
          </cell>
          <cell r="H43">
            <v>14559</v>
          </cell>
          <cell r="I43">
            <v>2430</v>
          </cell>
          <cell r="J43">
            <v>111</v>
          </cell>
        </row>
        <row r="44">
          <cell r="A44">
            <v>57</v>
          </cell>
          <cell r="B44">
            <v>0</v>
          </cell>
          <cell r="C44">
            <v>9</v>
          </cell>
          <cell r="D44">
            <v>11</v>
          </cell>
          <cell r="E44">
            <v>13968</v>
          </cell>
          <cell r="F44">
            <v>5047</v>
          </cell>
          <cell r="G44">
            <v>161</v>
          </cell>
          <cell r="H44">
            <v>14946</v>
          </cell>
          <cell r="I44">
            <v>2435</v>
          </cell>
          <cell r="J44">
            <v>101</v>
          </cell>
        </row>
        <row r="45">
          <cell r="A45">
            <v>58</v>
          </cell>
          <cell r="B45">
            <v>0</v>
          </cell>
          <cell r="C45">
            <v>8</v>
          </cell>
          <cell r="D45">
            <v>11</v>
          </cell>
          <cell r="E45">
            <v>14346</v>
          </cell>
          <cell r="F45">
            <v>5062</v>
          </cell>
          <cell r="G45">
            <v>145</v>
          </cell>
          <cell r="H45">
            <v>15347</v>
          </cell>
          <cell r="I45">
            <v>2420</v>
          </cell>
          <cell r="J45">
            <v>90</v>
          </cell>
        </row>
        <row r="46">
          <cell r="A46">
            <v>59</v>
          </cell>
          <cell r="B46">
            <v>0</v>
          </cell>
          <cell r="C46">
            <v>7</v>
          </cell>
          <cell r="D46">
            <v>11</v>
          </cell>
          <cell r="E46">
            <v>14739</v>
          </cell>
          <cell r="F46">
            <v>5097</v>
          </cell>
          <cell r="G46">
            <v>129</v>
          </cell>
          <cell r="H46">
            <v>15758</v>
          </cell>
          <cell r="I46">
            <v>2409</v>
          </cell>
          <cell r="J46">
            <v>80</v>
          </cell>
        </row>
        <row r="47">
          <cell r="A47">
            <v>60</v>
          </cell>
          <cell r="B47">
            <v>0</v>
          </cell>
          <cell r="C47">
            <v>6</v>
          </cell>
          <cell r="D47">
            <v>11</v>
          </cell>
          <cell r="E47">
            <v>15146</v>
          </cell>
          <cell r="F47">
            <v>5094</v>
          </cell>
          <cell r="G47">
            <v>112</v>
          </cell>
          <cell r="H47">
            <v>16184</v>
          </cell>
          <cell r="I47">
            <v>2376</v>
          </cell>
          <cell r="J47">
            <v>70</v>
          </cell>
        </row>
        <row r="48">
          <cell r="A48">
            <v>61</v>
          </cell>
          <cell r="B48">
            <v>0</v>
          </cell>
          <cell r="C48">
            <v>5</v>
          </cell>
          <cell r="D48">
            <v>11</v>
          </cell>
          <cell r="E48">
            <v>15567</v>
          </cell>
          <cell r="F48">
            <v>5082</v>
          </cell>
          <cell r="G48">
            <v>95</v>
          </cell>
          <cell r="H48">
            <v>16625</v>
          </cell>
          <cell r="I48">
            <v>2341</v>
          </cell>
          <cell r="J48">
            <v>60</v>
          </cell>
        </row>
        <row r="49">
          <cell r="A49">
            <v>62</v>
          </cell>
          <cell r="B49">
            <v>0</v>
          </cell>
          <cell r="C49">
            <v>4</v>
          </cell>
          <cell r="D49">
            <v>11</v>
          </cell>
          <cell r="E49">
            <v>16007</v>
          </cell>
          <cell r="F49">
            <v>5061</v>
          </cell>
          <cell r="G49">
            <v>78</v>
          </cell>
          <cell r="H49">
            <v>17082</v>
          </cell>
          <cell r="I49">
            <v>2285</v>
          </cell>
          <cell r="J49">
            <v>48</v>
          </cell>
        </row>
        <row r="50">
          <cell r="A50">
            <v>63</v>
          </cell>
          <cell r="B50">
            <v>0</v>
          </cell>
          <cell r="C50">
            <v>3</v>
          </cell>
          <cell r="D50">
            <v>11</v>
          </cell>
          <cell r="E50">
            <v>16465</v>
          </cell>
          <cell r="F50">
            <v>4996</v>
          </cell>
          <cell r="G50">
            <v>61</v>
          </cell>
          <cell r="H50">
            <v>17554</v>
          </cell>
          <cell r="I50">
            <v>2208</v>
          </cell>
          <cell r="J50">
            <v>38</v>
          </cell>
        </row>
        <row r="51">
          <cell r="A51">
            <v>64</v>
          </cell>
          <cell r="B51">
            <v>0</v>
          </cell>
          <cell r="C51">
            <v>2</v>
          </cell>
          <cell r="D51">
            <v>11</v>
          </cell>
          <cell r="E51">
            <v>16939</v>
          </cell>
          <cell r="F51">
            <v>4914</v>
          </cell>
          <cell r="G51">
            <v>44</v>
          </cell>
          <cell r="H51">
            <v>18046</v>
          </cell>
          <cell r="I51">
            <v>2116</v>
          </cell>
          <cell r="J51">
            <v>27</v>
          </cell>
        </row>
        <row r="52">
          <cell r="A52">
            <v>65</v>
          </cell>
          <cell r="B52">
            <v>0</v>
          </cell>
          <cell r="C52">
            <v>1</v>
          </cell>
          <cell r="D52">
            <v>11</v>
          </cell>
          <cell r="E52">
            <v>17436</v>
          </cell>
          <cell r="F52">
            <v>4803</v>
          </cell>
          <cell r="G52">
            <v>25</v>
          </cell>
          <cell r="H52">
            <v>18557</v>
          </cell>
          <cell r="I52">
            <v>2003</v>
          </cell>
          <cell r="J52">
            <v>15</v>
          </cell>
        </row>
        <row r="53">
          <cell r="A53">
            <v>66</v>
          </cell>
          <cell r="B53">
            <v>0</v>
          </cell>
          <cell r="C53">
            <v>0</v>
          </cell>
          <cell r="D53">
            <v>11</v>
          </cell>
          <cell r="E53">
            <v>17958</v>
          </cell>
          <cell r="F53">
            <v>4676</v>
          </cell>
          <cell r="G53">
            <v>8</v>
          </cell>
          <cell r="H53">
            <v>19092</v>
          </cell>
          <cell r="I53">
            <v>1879</v>
          </cell>
          <cell r="J53">
            <v>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PUT"/>
      <sheetName val="INPUT"/>
      <sheetName val="ber premie"/>
      <sheetName val="reken PPWz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
  <sheetViews>
    <sheetView zoomScalePageLayoutView="0" workbookViewId="0" topLeftCell="A1">
      <selection activeCell="S2" sqref="S2"/>
    </sheetView>
  </sheetViews>
  <sheetFormatPr defaultColWidth="9.140625" defaultRowHeight="12.75"/>
  <cols>
    <col min="1" max="1" width="11.421875" style="57" customWidth="1"/>
    <col min="2" max="3" width="9.140625" style="57" customWidth="1"/>
    <col min="4" max="5" width="16.8515625" style="57" customWidth="1"/>
    <col min="6" max="6" width="13.7109375" style="57" customWidth="1"/>
    <col min="7" max="7" width="21.57421875" style="57" customWidth="1"/>
    <col min="8" max="8" width="14.28125" style="57" customWidth="1"/>
    <col min="9" max="10" width="14.421875" style="57" customWidth="1"/>
    <col min="11" max="11" width="29.7109375" style="57" customWidth="1"/>
    <col min="12" max="12" width="19.7109375" style="57" bestFit="1" customWidth="1"/>
    <col min="13" max="18" width="16.28125" style="57" customWidth="1"/>
    <col min="19" max="19" width="20.57421875" style="57" customWidth="1"/>
    <col min="20" max="16384" width="9.140625" style="57" customWidth="1"/>
  </cols>
  <sheetData>
    <row r="1" spans="1:19" ht="12.75">
      <c r="A1" s="57" t="s">
        <v>120</v>
      </c>
      <c r="B1" s="57" t="s">
        <v>129</v>
      </c>
      <c r="C1" s="57" t="s">
        <v>62</v>
      </c>
      <c r="D1" s="57" t="s">
        <v>80</v>
      </c>
      <c r="E1" s="57" t="s">
        <v>127</v>
      </c>
      <c r="F1" s="57" t="s">
        <v>94</v>
      </c>
      <c r="G1" s="57" t="s">
        <v>20</v>
      </c>
      <c r="H1" s="57" t="s">
        <v>49</v>
      </c>
      <c r="I1" s="57" t="s">
        <v>28</v>
      </c>
      <c r="J1" s="57" t="s">
        <v>31</v>
      </c>
      <c r="K1" s="57" t="s">
        <v>69</v>
      </c>
      <c r="L1" s="57" t="s">
        <v>5</v>
      </c>
      <c r="M1" s="57" t="s">
        <v>107</v>
      </c>
      <c r="N1" s="57" t="s">
        <v>3</v>
      </c>
      <c r="O1" s="57" t="s">
        <v>97</v>
      </c>
      <c r="P1" s="57" t="s">
        <v>78</v>
      </c>
      <c r="Q1" s="57" t="s">
        <v>108</v>
      </c>
      <c r="R1" s="57" t="s">
        <v>55</v>
      </c>
      <c r="S1" s="57" t="s">
        <v>113</v>
      </c>
    </row>
    <row r="2" spans="1:19" ht="12.75">
      <c r="A2" s="57">
        <f>input_fulltime_salaris</f>
        <v>109000</v>
      </c>
      <c r="B2" s="57">
        <f>input_franchise</f>
        <v>15152</v>
      </c>
      <c r="C2" s="57">
        <f>input_franchise_np</f>
        <v>16000</v>
      </c>
      <c r="D2" s="57">
        <f>'Bereken OP|PP|WzP'!K7</f>
        <v>75078.4</v>
      </c>
      <c r="E2" s="57">
        <v>0</v>
      </c>
      <c r="F2" s="57">
        <f>'Bereken OP|PP|WzP'!O7</f>
        <v>24854.078666666668</v>
      </c>
      <c r="G2" s="57">
        <v>0</v>
      </c>
      <c r="H2" s="57">
        <f>'Bereken OP|PP|WzP'!O11</f>
        <v>17240.65</v>
      </c>
      <c r="I2" s="57">
        <f>'Bereken OP|PP|WzP'!O15</f>
        <v>3448.1300000000006</v>
      </c>
      <c r="J2" s="57">
        <f>'Bereken OP|PP|WzP'!B17</f>
        <v>15570.697071999999</v>
      </c>
      <c r="K2" s="57">
        <f>'Bereken OP|PP|WzP'!F24</f>
        <v>6561.289072</v>
      </c>
      <c r="L2" s="57">
        <f>'Bereken OP|PP|WzP'!F21</f>
        <v>9009.408</v>
      </c>
      <c r="M2" s="57">
        <f>'Bereken OP|PP|WzP'!B18</f>
        <v>2110.8024</v>
      </c>
      <c r="N2" s="57">
        <f>output_premie_pj_np</f>
        <v>2110.8024</v>
      </c>
      <c r="O2" s="57">
        <f>output_premie_pj_np*0</f>
        <v>0</v>
      </c>
      <c r="P2" s="57">
        <f>'Bereken OP|PP|WzP'!B19</f>
        <v>171.3432</v>
      </c>
      <c r="Q2" s="57">
        <f>1*output_premie_pj_wzp</f>
        <v>171.3432</v>
      </c>
      <c r="R2" s="57">
        <f>0*output_premie_pj_wzp</f>
        <v>0</v>
      </c>
      <c r="S2" s="65"/>
    </row>
    <row r="24" ht="12.75">
      <c r="M24" s="86"/>
    </row>
  </sheetData>
  <sheetProtection/>
  <printOptions/>
  <pageMargins left="0.7" right="0.7" top="0.75" bottom="0.75" header="0.3" footer="0.3"/>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EE6"/>
  <sheetViews>
    <sheetView zoomScalePageLayoutView="0" workbookViewId="0" topLeftCell="AA1">
      <selection activeCell="AR2" sqref="AR2"/>
    </sheetView>
  </sheetViews>
  <sheetFormatPr defaultColWidth="27.00390625" defaultRowHeight="12.75"/>
  <cols>
    <col min="1" max="1" width="11.140625" style="0" customWidth="1"/>
    <col min="2" max="2" width="13.28125" style="0" customWidth="1"/>
    <col min="3" max="3" width="11.7109375" style="0" customWidth="1"/>
    <col min="4" max="4" width="8.57421875" style="0" customWidth="1"/>
    <col min="5" max="5" width="15.28125" style="0" customWidth="1"/>
    <col min="6" max="6" width="19.140625" style="0" customWidth="1"/>
    <col min="7" max="7" width="14.28125" style="0" bestFit="1" customWidth="1"/>
    <col min="8" max="9" width="16.28125" style="0" customWidth="1"/>
    <col min="10" max="10" width="17.00390625" style="0" customWidth="1"/>
    <col min="11" max="11" width="13.7109375" style="0" customWidth="1"/>
    <col min="12" max="12" width="20.00390625" style="0" customWidth="1"/>
    <col min="13" max="13" width="28.57421875" style="0" customWidth="1"/>
    <col min="14" max="14" width="15.140625" style="0" customWidth="1"/>
    <col min="15" max="15" width="18.140625" style="0" customWidth="1"/>
    <col min="16" max="16" width="10.7109375" style="0" customWidth="1"/>
    <col min="17" max="17" width="6.421875" style="0" customWidth="1"/>
    <col min="18" max="18" width="21.00390625" style="0" customWidth="1"/>
    <col min="19" max="19" width="15.140625" style="0" customWidth="1"/>
    <col min="20" max="21" width="18.28125" style="0" hidden="1" customWidth="1"/>
    <col min="22" max="22" width="19.00390625" style="0" hidden="1" customWidth="1"/>
    <col min="23" max="23" width="22.00390625" style="0" hidden="1" customWidth="1"/>
    <col min="24" max="24" width="19.57421875" style="0" hidden="1" customWidth="1"/>
    <col min="25" max="25" width="16.28125" style="0" customWidth="1"/>
    <col min="26" max="26" width="23.140625" style="0" customWidth="1"/>
    <col min="27" max="27" width="28.8515625" style="0" customWidth="1"/>
    <col min="28" max="28" width="15.8515625" style="0" customWidth="1"/>
    <col min="29" max="32" width="19.28125" style="0" customWidth="1"/>
    <col min="33" max="33" width="21.7109375" style="0" customWidth="1"/>
    <col min="34" max="34" width="15.140625" style="0" customWidth="1"/>
    <col min="35" max="35" width="18.8515625" style="0" customWidth="1"/>
    <col min="36" max="36" width="28.7109375" style="0" customWidth="1"/>
    <col min="37" max="37" width="23.8515625" style="0" customWidth="1"/>
    <col min="38" max="38" width="23.421875" style="0" customWidth="1"/>
    <col min="39" max="43" width="21.8515625" style="0" customWidth="1"/>
    <col min="44" max="44" width="28.421875" style="0" customWidth="1"/>
    <col min="45" max="45" width="17.421875" style="0" customWidth="1"/>
    <col min="46" max="46" width="18.7109375" style="0" customWidth="1"/>
    <col min="47" max="47" width="17.421875" style="0" customWidth="1"/>
    <col min="48" max="48" width="18.7109375" style="0" customWidth="1"/>
    <col min="49" max="49" width="21.421875" style="0" customWidth="1"/>
    <col min="50" max="51" width="20.140625" style="0" customWidth="1"/>
    <col min="52" max="52" width="21.00390625" style="0" customWidth="1"/>
    <col min="53" max="53" width="21.140625" style="0" customWidth="1"/>
    <col min="54" max="54" width="21.00390625" style="0" customWidth="1"/>
    <col min="55" max="55" width="21.140625" style="0" customWidth="1"/>
    <col min="56" max="56" width="27.00390625" style="0" customWidth="1"/>
    <col min="57" max="57" width="17.57421875" style="0" customWidth="1"/>
    <col min="58" max="58" width="22.00390625" style="0" customWidth="1"/>
    <col min="59" max="59" width="18.7109375" style="0" customWidth="1"/>
    <col min="60" max="60" width="19.28125" style="0" customWidth="1"/>
    <col min="61" max="61" width="21.7109375" style="0" customWidth="1"/>
    <col min="62" max="62" width="15.140625" style="0" customWidth="1"/>
    <col min="63" max="63" width="18.8515625" style="0" customWidth="1"/>
    <col min="64" max="64" width="28.7109375" style="0" customWidth="1"/>
    <col min="65" max="65" width="23.8515625" style="0" customWidth="1"/>
    <col min="66" max="66" width="23.421875" style="0" customWidth="1"/>
    <col min="67" max="67" width="21.8515625" style="0" customWidth="1"/>
    <col min="68" max="68" width="17.421875" style="0" customWidth="1"/>
    <col min="69" max="69" width="18.7109375" style="0" customWidth="1"/>
    <col min="70" max="70" width="17.421875" style="0" customWidth="1"/>
    <col min="71" max="71" width="18.7109375" style="0" customWidth="1"/>
    <col min="72" max="72" width="21.421875" style="0" customWidth="1"/>
    <col min="73" max="74" width="20.140625" style="0" customWidth="1"/>
    <col min="75" max="75" width="21.00390625" style="0" customWidth="1"/>
    <col min="76" max="76" width="21.140625" style="0" customWidth="1"/>
    <col min="77" max="77" width="21.00390625" style="0" customWidth="1"/>
    <col min="78" max="78" width="21.140625" style="0" customWidth="1"/>
    <col min="79" max="79" width="27.00390625" style="0" customWidth="1"/>
    <col min="80" max="80" width="17.57421875" style="0" customWidth="1"/>
    <col min="81" max="81" width="22.00390625" style="0" customWidth="1"/>
    <col min="82" max="82" width="18.7109375" style="0" customWidth="1"/>
    <col min="83" max="83" width="19.28125" style="0" customWidth="1"/>
    <col min="84" max="84" width="21.7109375" style="0" customWidth="1"/>
    <col min="85" max="85" width="15.140625" style="0" customWidth="1"/>
    <col min="86" max="86" width="18.8515625" style="0" customWidth="1"/>
    <col min="87" max="87" width="28.7109375" style="0" customWidth="1"/>
    <col min="88" max="88" width="23.8515625" style="0" customWidth="1"/>
    <col min="89" max="89" width="23.421875" style="0" customWidth="1"/>
    <col min="90" max="90" width="21.8515625" style="0" customWidth="1"/>
    <col min="91" max="91" width="17.421875" style="0" customWidth="1"/>
    <col min="92" max="92" width="18.7109375" style="0" customWidth="1"/>
    <col min="93" max="93" width="17.421875" style="0" customWidth="1"/>
    <col min="94" max="94" width="18.7109375" style="0" customWidth="1"/>
    <col min="95" max="95" width="21.421875" style="0" customWidth="1"/>
    <col min="96" max="97" width="20.140625" style="0" customWidth="1"/>
    <col min="98" max="98" width="21.00390625" style="0" customWidth="1"/>
    <col min="99" max="99" width="21.140625" style="0" customWidth="1"/>
    <col min="100" max="100" width="21.00390625" style="0" customWidth="1"/>
    <col min="101" max="101" width="21.140625" style="0" customWidth="1"/>
    <col min="102" max="102" width="27.00390625" style="0" customWidth="1"/>
    <col min="103" max="103" width="15.421875" style="0" customWidth="1"/>
    <col min="104" max="104" width="19.8515625" style="0" customWidth="1"/>
    <col min="105" max="105" width="16.57421875" style="0" customWidth="1"/>
    <col min="106" max="106" width="17.28125" style="0" customWidth="1"/>
    <col min="107" max="107" width="19.57421875" style="0" customWidth="1"/>
    <col min="108" max="108" width="13.140625" style="0" customWidth="1"/>
    <col min="109" max="109" width="26.7109375" style="0" customWidth="1"/>
    <col min="110" max="110" width="21.8515625" style="0" customWidth="1"/>
    <col min="111" max="111" width="21.421875" style="0" customWidth="1"/>
    <col min="112" max="112" width="19.7109375" style="0" customWidth="1"/>
    <col min="113" max="113" width="11.7109375" style="0" customWidth="1"/>
    <col min="114" max="114" width="12.8515625" style="0" customWidth="1"/>
    <col min="115" max="115" width="19.28125" style="0" customWidth="1"/>
    <col min="116" max="116" width="14.421875" style="0" customWidth="1"/>
    <col min="117" max="117" width="15.28125" style="0" customWidth="1"/>
    <col min="118" max="118" width="15.421875" style="0" customWidth="1"/>
    <col min="119" max="119" width="19.57421875" style="0" customWidth="1"/>
    <col min="120" max="120" width="20.421875" style="0" customWidth="1"/>
    <col min="121" max="121" width="20.57421875" style="0" customWidth="1"/>
    <col min="122" max="122" width="21.00390625" style="0" customWidth="1"/>
    <col min="123" max="123" width="19.57421875" style="0" customWidth="1"/>
    <col min="124" max="124" width="22.57421875" style="0" customWidth="1"/>
    <col min="125" max="125" width="23.140625" style="0" customWidth="1"/>
    <col min="126" max="127" width="25.140625" style="0" customWidth="1"/>
    <col min="128" max="128" width="21.140625" style="0" customWidth="1"/>
    <col min="129" max="129" width="21.421875" style="0" customWidth="1"/>
    <col min="130" max="130" width="17.57421875" style="0" customWidth="1"/>
    <col min="131" max="131" width="18.28125" style="0" customWidth="1"/>
    <col min="132" max="132" width="17.28125" style="0" customWidth="1"/>
    <col min="133" max="133" width="21.7109375" style="0" customWidth="1"/>
    <col min="134" max="134" width="18.7109375" style="0" customWidth="1"/>
    <col min="135" max="135" width="19.28125" style="0" customWidth="1"/>
  </cols>
  <sheetData>
    <row r="1" spans="1:135" s="59" customFormat="1" ht="12.75">
      <c r="A1" t="s">
        <v>59</v>
      </c>
      <c r="B1" t="s">
        <v>44</v>
      </c>
      <c r="C1" s="60" t="s">
        <v>12</v>
      </c>
      <c r="D1" s="60" t="s">
        <v>88</v>
      </c>
      <c r="E1" s="60" t="s">
        <v>128</v>
      </c>
      <c r="F1" t="s">
        <v>110</v>
      </c>
      <c r="G1" t="s">
        <v>19</v>
      </c>
      <c r="H1" s="60" t="s">
        <v>41</v>
      </c>
      <c r="I1" s="60" t="s">
        <v>66</v>
      </c>
      <c r="J1" t="s">
        <v>25</v>
      </c>
      <c r="K1" s="62" t="s">
        <v>134</v>
      </c>
      <c r="L1" s="60" t="s">
        <v>77</v>
      </c>
      <c r="M1" s="60" t="s">
        <v>153</v>
      </c>
      <c r="N1" s="79" t="s">
        <v>92</v>
      </c>
      <c r="O1" t="s">
        <v>124</v>
      </c>
      <c r="P1" t="s">
        <v>111</v>
      </c>
      <c r="Q1" t="s">
        <v>81</v>
      </c>
      <c r="R1" t="s">
        <v>102</v>
      </c>
      <c r="S1" s="60" t="s">
        <v>34</v>
      </c>
      <c r="T1" t="s">
        <v>37</v>
      </c>
      <c r="U1" t="s">
        <v>58</v>
      </c>
      <c r="V1" t="s">
        <v>15</v>
      </c>
      <c r="W1" t="s">
        <v>30</v>
      </c>
      <c r="X1" t="s">
        <v>21</v>
      </c>
      <c r="Y1" s="60" t="s">
        <v>89</v>
      </c>
      <c r="Z1" s="60" t="s">
        <v>74</v>
      </c>
      <c r="AA1" t="s">
        <v>2</v>
      </c>
      <c r="AB1" s="61" t="s">
        <v>48</v>
      </c>
      <c r="AC1" s="130" t="s">
        <v>185</v>
      </c>
      <c r="AD1" s="130" t="s">
        <v>186</v>
      </c>
      <c r="AE1" s="130" t="s">
        <v>187</v>
      </c>
      <c r="AF1" s="130" t="s">
        <v>188</v>
      </c>
      <c r="AG1" s="60" t="s">
        <v>9</v>
      </c>
      <c r="AH1" s="60" t="s">
        <v>60</v>
      </c>
      <c r="AI1" s="60" t="s">
        <v>121</v>
      </c>
      <c r="AJ1" s="60" t="s">
        <v>54</v>
      </c>
      <c r="AK1" s="60" t="s">
        <v>80</v>
      </c>
      <c r="AL1" s="60" t="s">
        <v>45</v>
      </c>
      <c r="AM1" s="60" t="s">
        <v>98</v>
      </c>
      <c r="AN1" s="101" t="s">
        <v>154</v>
      </c>
      <c r="AO1" s="101" t="s">
        <v>155</v>
      </c>
      <c r="AP1" s="101" t="s">
        <v>156</v>
      </c>
      <c r="AQ1" s="60" t="s">
        <v>157</v>
      </c>
      <c r="AR1" s="60" t="s">
        <v>152</v>
      </c>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row>
    <row r="2" spans="3:44" ht="13.5" thickBot="1">
      <c r="C2" s="79" t="s">
        <v>150</v>
      </c>
      <c r="D2" s="79" t="s">
        <v>163</v>
      </c>
      <c r="E2" s="97">
        <v>25194</v>
      </c>
      <c r="F2" s="80"/>
      <c r="H2" s="97">
        <v>41173</v>
      </c>
      <c r="I2" s="97">
        <v>39814</v>
      </c>
      <c r="K2">
        <v>3000</v>
      </c>
      <c r="L2" s="79">
        <v>80</v>
      </c>
      <c r="M2" s="79">
        <v>50</v>
      </c>
      <c r="N2" s="79">
        <v>109000</v>
      </c>
      <c r="O2" s="95"/>
      <c r="R2" s="79"/>
      <c r="S2" s="79" t="s">
        <v>158</v>
      </c>
      <c r="Y2" t="s">
        <v>151</v>
      </c>
      <c r="Z2" s="58">
        <v>25392</v>
      </c>
      <c r="AC2">
        <v>12</v>
      </c>
      <c r="AD2">
        <v>1.75</v>
      </c>
      <c r="AE2">
        <v>1.225</v>
      </c>
      <c r="AF2" t="s">
        <v>189</v>
      </c>
      <c r="AG2" s="98"/>
      <c r="AH2" s="62">
        <v>15152</v>
      </c>
      <c r="AI2" s="62">
        <v>16000</v>
      </c>
      <c r="AJ2" s="99">
        <v>109000</v>
      </c>
      <c r="AK2" s="100">
        <v>69179.76</v>
      </c>
      <c r="AL2" s="64"/>
      <c r="AM2">
        <v>67</v>
      </c>
      <c r="AN2">
        <v>0</v>
      </c>
      <c r="AO2">
        <v>0</v>
      </c>
      <c r="AP2">
        <v>0</v>
      </c>
      <c r="AQ2">
        <v>103000</v>
      </c>
      <c r="AR2">
        <v>99000</v>
      </c>
    </row>
    <row r="5" spans="5:9" ht="12.75">
      <c r="E5" s="58"/>
      <c r="H5" s="58"/>
      <c r="I5" s="58"/>
    </row>
    <row r="6" spans="5:9" ht="12.75">
      <c r="E6" s="58"/>
      <c r="H6" s="58"/>
      <c r="I6" s="58"/>
    </row>
  </sheetData>
  <sheetProtection/>
  <printOptions/>
  <pageMargins left="0.7" right="0.7" top="0.75" bottom="0.75" header="0.3" footer="0.3"/>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37"/>
  <sheetViews>
    <sheetView zoomScalePageLayoutView="0" workbookViewId="0" topLeftCell="A1">
      <selection activeCell="B5" sqref="B5"/>
    </sheetView>
  </sheetViews>
  <sheetFormatPr defaultColWidth="9.140625" defaultRowHeight="12.75"/>
  <cols>
    <col min="1" max="1" width="3.140625" style="2" customWidth="1"/>
    <col min="2" max="2" width="23.8515625" style="2" customWidth="1"/>
    <col min="3" max="3" width="24.8515625" style="2" customWidth="1"/>
    <col min="4" max="4" width="6.140625" style="2" customWidth="1"/>
    <col min="5" max="5" width="30.140625" style="2" customWidth="1"/>
    <col min="6" max="6" width="11.57421875" style="2" customWidth="1"/>
    <col min="7" max="7" width="9.140625" style="2" customWidth="1"/>
    <col min="8" max="8" width="25.57421875" style="2" customWidth="1"/>
    <col min="9" max="16384" width="9.140625" style="2" customWidth="1"/>
  </cols>
  <sheetData>
    <row r="1" spans="1:14" ht="12.75">
      <c r="A1" s="1"/>
      <c r="B1" s="1" t="s">
        <v>33</v>
      </c>
      <c r="C1" s="1" t="s">
        <v>101</v>
      </c>
      <c r="D1" s="1"/>
      <c r="E1" s="1"/>
      <c r="F1" s="1"/>
      <c r="N1" s="2" t="s">
        <v>32</v>
      </c>
    </row>
    <row r="2" spans="1:14" ht="12.75">
      <c r="A2" s="1"/>
      <c r="B2" s="1" t="s">
        <v>86</v>
      </c>
      <c r="C2" s="1" t="s">
        <v>100</v>
      </c>
      <c r="D2" s="1"/>
      <c r="E2" s="1"/>
      <c r="F2" s="1"/>
      <c r="N2" s="2" t="s">
        <v>7</v>
      </c>
    </row>
    <row r="3" spans="1:14" ht="12.75">
      <c r="A3" s="1"/>
      <c r="B3" s="1"/>
      <c r="C3" s="1"/>
      <c r="D3" s="1"/>
      <c r="E3" s="1"/>
      <c r="F3" s="1"/>
      <c r="N3" s="2" t="s">
        <v>43</v>
      </c>
    </row>
    <row r="4" spans="1:14" ht="12.75">
      <c r="A4" s="1"/>
      <c r="B4" s="1"/>
      <c r="C4" s="1"/>
      <c r="D4" s="1"/>
      <c r="E4" s="1"/>
      <c r="F4" s="1"/>
      <c r="N4" s="2" t="s">
        <v>131</v>
      </c>
    </row>
    <row r="5" spans="1:14" ht="20.25">
      <c r="A5" s="1"/>
      <c r="B5" s="3" t="s">
        <v>64</v>
      </c>
      <c r="C5" s="4"/>
      <c r="D5" s="5"/>
      <c r="E5" s="6"/>
      <c r="F5" s="1"/>
      <c r="N5" s="2" t="s">
        <v>104</v>
      </c>
    </row>
    <row r="6" spans="1:6" ht="12.75">
      <c r="A6" s="1"/>
      <c r="C6" s="1"/>
      <c r="D6" s="1"/>
      <c r="E6" s="1"/>
      <c r="F6" s="1"/>
    </row>
    <row r="7" spans="1:6" ht="12.75">
      <c r="A7" s="1"/>
      <c r="B7" s="7" t="s">
        <v>109</v>
      </c>
      <c r="C7" s="8" t="s">
        <v>71</v>
      </c>
      <c r="D7" s="9"/>
      <c r="E7" s="1"/>
      <c r="F7" s="1"/>
    </row>
    <row r="8" spans="1:6" ht="12.75">
      <c r="A8" s="1"/>
      <c r="B8" s="10" t="s">
        <v>22</v>
      </c>
      <c r="C8" s="11" t="s">
        <v>73</v>
      </c>
      <c r="D8" s="12"/>
      <c r="F8" s="1"/>
    </row>
    <row r="9" spans="1:5" ht="12.75">
      <c r="A9" s="1"/>
      <c r="B9" s="13" t="s">
        <v>0</v>
      </c>
      <c r="C9" s="14" t="s">
        <v>118</v>
      </c>
      <c r="D9" s="15"/>
      <c r="E9" s="12"/>
    </row>
    <row r="10" spans="1:8" ht="12.75">
      <c r="A10" s="1"/>
      <c r="B10" s="10" t="s">
        <v>130</v>
      </c>
      <c r="C10" s="16" t="s">
        <v>96</v>
      </c>
      <c r="D10" s="9"/>
      <c r="E10" s="17" t="s">
        <v>79</v>
      </c>
      <c r="F10" s="18"/>
      <c r="G10"/>
      <c r="H10"/>
    </row>
    <row r="11" spans="1:8" ht="12.75">
      <c r="A11" s="1"/>
      <c r="B11" s="10" t="s">
        <v>51</v>
      </c>
      <c r="C11" s="19" t="s">
        <v>7</v>
      </c>
      <c r="D11" s="20"/>
      <c r="E11" s="10" t="s">
        <v>56</v>
      </c>
      <c r="F11" s="21">
        <v>0.005</v>
      </c>
      <c r="G11"/>
      <c r="H11"/>
    </row>
    <row r="12" spans="1:8" ht="12.75">
      <c r="A12" s="1"/>
      <c r="B12" s="7" t="s">
        <v>57</v>
      </c>
      <c r="C12" s="22">
        <v>2.5</v>
      </c>
      <c r="D12" s="20" t="s">
        <v>63</v>
      </c>
      <c r="E12" s="10" t="s">
        <v>46</v>
      </c>
      <c r="F12" s="21">
        <v>0.015</v>
      </c>
      <c r="G12"/>
      <c r="H12"/>
    </row>
    <row r="13" spans="1:8" ht="12.75">
      <c r="A13" s="1"/>
      <c r="B13" s="7" t="s">
        <v>99</v>
      </c>
      <c r="C13" s="23">
        <v>42005</v>
      </c>
      <c r="D13" s="20"/>
      <c r="E13" s="10" t="s">
        <v>87</v>
      </c>
      <c r="F13" s="21">
        <v>0.0075</v>
      </c>
      <c r="G13" t="s">
        <v>14</v>
      </c>
      <c r="H13"/>
    </row>
    <row r="14" spans="1:8" ht="12.75">
      <c r="A14" s="1"/>
      <c r="B14" s="7" t="s">
        <v>98</v>
      </c>
      <c r="C14" s="19">
        <v>67</v>
      </c>
      <c r="D14" s="1"/>
      <c r="E14" s="24" t="s">
        <v>123</v>
      </c>
      <c r="F14" s="21">
        <v>0.06</v>
      </c>
      <c r="G14"/>
      <c r="H14"/>
    </row>
    <row r="15" spans="1:8" ht="12.75">
      <c r="A15" s="1"/>
      <c r="B15" s="7" t="s">
        <v>66</v>
      </c>
      <c r="C15" s="19" t="s">
        <v>91</v>
      </c>
      <c r="D15" s="20"/>
      <c r="E15" s="10" t="s">
        <v>119</v>
      </c>
      <c r="F15" s="21">
        <v>0.0025</v>
      </c>
      <c r="G15"/>
      <c r="H15"/>
    </row>
    <row r="16" spans="1:8" ht="12.75">
      <c r="A16" s="1"/>
      <c r="B16" s="7" t="s">
        <v>35</v>
      </c>
      <c r="C16" s="19" t="s">
        <v>1</v>
      </c>
      <c r="D16" s="20"/>
      <c r="E16" s="10" t="s">
        <v>84</v>
      </c>
      <c r="F16" s="21">
        <v>0.019</v>
      </c>
      <c r="G16"/>
      <c r="H16"/>
    </row>
    <row r="17" spans="1:8" ht="12.75">
      <c r="A17" s="1"/>
      <c r="B17" s="1"/>
      <c r="C17" s="1"/>
      <c r="D17" s="20"/>
      <c r="E17" s="10" t="s">
        <v>53</v>
      </c>
      <c r="F17" s="21">
        <v>0.04</v>
      </c>
      <c r="G17"/>
      <c r="H17"/>
    </row>
    <row r="18" spans="1:8" ht="12.75">
      <c r="A18" s="1"/>
      <c r="B18" s="25" t="s">
        <v>4</v>
      </c>
      <c r="C18" s="26" t="s">
        <v>17</v>
      </c>
      <c r="D18" s="27"/>
      <c r="E18" s="10" t="s">
        <v>27</v>
      </c>
      <c r="F18" s="21">
        <v>0</v>
      </c>
      <c r="G18"/>
      <c r="H18"/>
    </row>
    <row r="19" spans="1:8" ht="12.75">
      <c r="A19" s="1"/>
      <c r="D19" s="28"/>
      <c r="E19" s="10" t="s">
        <v>106</v>
      </c>
      <c r="F19" s="21">
        <v>0</v>
      </c>
      <c r="G19"/>
      <c r="H19"/>
    </row>
    <row r="20" spans="1:8" ht="12.75">
      <c r="A20" s="1"/>
      <c r="B20" s="7" t="s">
        <v>133</v>
      </c>
      <c r="C20" s="29" t="s">
        <v>70</v>
      </c>
      <c r="D20" s="30"/>
      <c r="E20" s="10" t="s">
        <v>116</v>
      </c>
      <c r="F20" s="21">
        <v>0.0036</v>
      </c>
      <c r="G20"/>
      <c r="H20"/>
    </row>
    <row r="21" spans="1:8" ht="12.75">
      <c r="A21" s="1"/>
      <c r="B21" s="31" t="s">
        <v>39</v>
      </c>
      <c r="C21" s="29" t="s">
        <v>132</v>
      </c>
      <c r="D21" s="9"/>
      <c r="E21" s="24" t="s">
        <v>8</v>
      </c>
      <c r="F21" s="32" t="s">
        <v>17</v>
      </c>
      <c r="G21" s="33">
        <v>0</v>
      </c>
      <c r="H21"/>
    </row>
    <row r="22" spans="1:8" ht="12.75">
      <c r="A22" s="1"/>
      <c r="B22" s="34" t="s">
        <v>23</v>
      </c>
      <c r="C22" s="29" t="s">
        <v>36</v>
      </c>
      <c r="D22" s="35"/>
      <c r="E22" s="7" t="s">
        <v>82</v>
      </c>
      <c r="F22" s="21">
        <v>0.02</v>
      </c>
      <c r="G22"/>
      <c r="H22"/>
    </row>
    <row r="23" spans="1:8" ht="12.75">
      <c r="A23" s="1"/>
      <c r="B23" s="7" t="s">
        <v>85</v>
      </c>
      <c r="C23" s="36" t="s">
        <v>135</v>
      </c>
      <c r="D23" s="37"/>
      <c r="E23" s="24" t="s">
        <v>122</v>
      </c>
      <c r="F23" s="38">
        <v>1</v>
      </c>
      <c r="G23"/>
      <c r="H23"/>
    </row>
    <row r="24" spans="1:8" ht="12.75">
      <c r="A24" s="1"/>
      <c r="B24" s="39"/>
      <c r="C24" s="40"/>
      <c r="D24" s="37"/>
      <c r="E24" s="24" t="s">
        <v>90</v>
      </c>
      <c r="F24" s="38">
        <v>1</v>
      </c>
      <c r="G24"/>
      <c r="H24"/>
    </row>
    <row r="25" spans="1:8" ht="12.75">
      <c r="A25" s="1"/>
      <c r="B25" s="7" t="s">
        <v>75</v>
      </c>
      <c r="C25" s="29" t="s">
        <v>132</v>
      </c>
      <c r="D25" s="41"/>
      <c r="F25" s="42"/>
      <c r="G25"/>
      <c r="H25"/>
    </row>
    <row r="26" spans="1:8" ht="12.75">
      <c r="A26" s="1"/>
      <c r="B26" s="25" t="s">
        <v>114</v>
      </c>
      <c r="C26" s="29" t="s">
        <v>105</v>
      </c>
      <c r="D26" s="37"/>
      <c r="E26" s="7" t="s">
        <v>126</v>
      </c>
      <c r="F26" s="43">
        <v>0</v>
      </c>
      <c r="G26"/>
      <c r="H26"/>
    </row>
    <row r="27" spans="1:8" ht="12.75">
      <c r="A27" s="1"/>
      <c r="B27" s="10" t="s">
        <v>50</v>
      </c>
      <c r="C27" s="26" t="s">
        <v>42</v>
      </c>
      <c r="D27" s="1"/>
      <c r="E27" s="7" t="s">
        <v>68</v>
      </c>
      <c r="F27" s="43">
        <v>0.1</v>
      </c>
      <c r="G27"/>
      <c r="H27"/>
    </row>
    <row r="28" spans="1:8" ht="12.75">
      <c r="A28" s="1"/>
      <c r="B28" s="31" t="s">
        <v>39</v>
      </c>
      <c r="C28" s="29" t="s">
        <v>132</v>
      </c>
      <c r="D28" s="1"/>
      <c r="E28" s="7" t="s">
        <v>10</v>
      </c>
      <c r="F28" s="43">
        <v>0</v>
      </c>
      <c r="G28"/>
      <c r="H28"/>
    </row>
    <row r="29" spans="1:8" ht="12.75">
      <c r="A29" s="1"/>
      <c r="B29" s="31" t="s">
        <v>52</v>
      </c>
      <c r="C29" s="26">
        <v>0</v>
      </c>
      <c r="D29" s="1"/>
      <c r="E29" s="7" t="s">
        <v>76</v>
      </c>
      <c r="F29" s="43">
        <v>0</v>
      </c>
      <c r="G29"/>
      <c r="H29"/>
    </row>
    <row r="30" spans="1:8" ht="12.75">
      <c r="A30" s="1"/>
      <c r="D30" s="1"/>
      <c r="E30" s="7" t="s">
        <v>52</v>
      </c>
      <c r="F30" s="44" t="s">
        <v>7</v>
      </c>
      <c r="G30"/>
      <c r="H30"/>
    </row>
    <row r="31" spans="1:8" ht="12.75">
      <c r="A31" s="1"/>
      <c r="B31" s="25" t="s">
        <v>16</v>
      </c>
      <c r="C31" s="26" t="s">
        <v>132</v>
      </c>
      <c r="D31" s="1"/>
      <c r="E31" s="10" t="s">
        <v>13</v>
      </c>
      <c r="F31" s="45" t="s">
        <v>29</v>
      </c>
      <c r="G31" s="15"/>
      <c r="H31" s="46"/>
    </row>
    <row r="32" spans="1:8" ht="12.75">
      <c r="A32" s="1"/>
      <c r="B32" s="1"/>
      <c r="C32" s="1"/>
      <c r="D32" s="1"/>
      <c r="E32" s="10" t="s">
        <v>40</v>
      </c>
      <c r="F32" s="47" t="s">
        <v>65</v>
      </c>
      <c r="G32" s="48"/>
      <c r="H32" s="49"/>
    </row>
    <row r="33" spans="1:6" ht="12.75">
      <c r="A33" s="1"/>
      <c r="B33" s="1"/>
      <c r="C33" s="1"/>
      <c r="D33" s="1"/>
      <c r="E33" s="1"/>
      <c r="F33" s="1"/>
    </row>
    <row r="34" spans="1:6" ht="12.75">
      <c r="A34" s="1"/>
      <c r="B34" s="50"/>
      <c r="C34" s="51" t="s">
        <v>11</v>
      </c>
      <c r="D34" s="52" t="s">
        <v>26</v>
      </c>
      <c r="E34" s="53"/>
      <c r="F34" s="1"/>
    </row>
    <row r="35" spans="1:6" ht="12.75">
      <c r="A35" s="1"/>
      <c r="B35" s="54" t="s">
        <v>83</v>
      </c>
      <c r="C35" s="55" t="s">
        <v>6</v>
      </c>
      <c r="D35" s="52" t="s">
        <v>24</v>
      </c>
      <c r="E35" s="53"/>
      <c r="F35" s="1"/>
    </row>
    <row r="36" spans="1:6" ht="12.75">
      <c r="A36" s="1"/>
      <c r="B36" s="54" t="s">
        <v>38</v>
      </c>
      <c r="C36" s="51" t="s">
        <v>67</v>
      </c>
      <c r="D36" s="51" t="s">
        <v>103</v>
      </c>
      <c r="E36" s="12"/>
      <c r="F36" s="1"/>
    </row>
    <row r="37" spans="1:4" ht="12.75">
      <c r="A37" s="1"/>
      <c r="B37" s="56"/>
      <c r="C37" s="56"/>
      <c r="D37" s="56"/>
    </row>
  </sheetData>
  <sheetProtection password="EE56" sheet="1" objects="1" scenarios="1"/>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O39"/>
  <sheetViews>
    <sheetView zoomScalePageLayoutView="0" workbookViewId="0" topLeftCell="A1">
      <selection activeCell="J29" sqref="J29"/>
    </sheetView>
  </sheetViews>
  <sheetFormatPr defaultColWidth="9.140625" defaultRowHeight="12.75"/>
  <cols>
    <col min="1" max="1" width="31.57421875" style="0" customWidth="1"/>
    <col min="2" max="2" width="15.00390625" style="0" customWidth="1"/>
    <col min="3" max="3" width="14.7109375" style="0" customWidth="1"/>
    <col min="4" max="4" width="19.7109375" style="0" customWidth="1"/>
    <col min="5" max="5" width="15.00390625" style="0" bestFit="1" customWidth="1"/>
    <col min="6" max="6" width="27.57421875" style="0" customWidth="1"/>
    <col min="7" max="7" width="13.28125" style="0" customWidth="1"/>
    <col min="9" max="9" width="14.140625" style="0" bestFit="1" customWidth="1"/>
    <col min="10" max="10" width="17.421875" style="0" customWidth="1"/>
    <col min="11" max="11" width="20.421875" style="0" customWidth="1"/>
    <col min="12" max="12" width="9.7109375" style="0" bestFit="1" customWidth="1"/>
    <col min="13" max="13" width="19.28125" style="0" bestFit="1" customWidth="1"/>
    <col min="14" max="14" width="18.421875" style="0" bestFit="1" customWidth="1"/>
    <col min="15" max="15" width="10.7109375" style="0" bestFit="1" customWidth="1"/>
    <col min="16" max="16" width="18.421875" style="0" bestFit="1" customWidth="1"/>
    <col min="17" max="17" width="14.140625" style="0" bestFit="1" customWidth="1"/>
    <col min="18" max="18" width="16.28125" style="0" bestFit="1" customWidth="1"/>
    <col min="19" max="19" width="10.28125" style="0" bestFit="1" customWidth="1"/>
  </cols>
  <sheetData>
    <row r="1" spans="1:14" ht="12.75">
      <c r="A1" t="s">
        <v>110</v>
      </c>
      <c r="B1" s="102" t="s">
        <v>88</v>
      </c>
      <c r="C1" s="102" t="s">
        <v>128</v>
      </c>
      <c r="D1" t="s">
        <v>110</v>
      </c>
      <c r="E1" s="102" t="s">
        <v>41</v>
      </c>
      <c r="F1" t="s">
        <v>25</v>
      </c>
      <c r="G1" t="s">
        <v>134</v>
      </c>
      <c r="H1" s="102" t="s">
        <v>77</v>
      </c>
      <c r="I1" s="102" t="s">
        <v>92</v>
      </c>
      <c r="J1" t="s">
        <v>124</v>
      </c>
      <c r="K1" t="s">
        <v>111</v>
      </c>
      <c r="L1" t="s">
        <v>81</v>
      </c>
      <c r="M1" t="s">
        <v>102</v>
      </c>
      <c r="N1" t="s">
        <v>140</v>
      </c>
    </row>
    <row r="2" spans="1:14" ht="12.75">
      <c r="A2">
        <f>input_BSN</f>
        <v>0</v>
      </c>
      <c r="B2" t="str">
        <f>INPUT!D2</f>
        <v>Vrouw</v>
      </c>
      <c r="C2" s="58">
        <f>INPUT!E2</f>
        <v>25194</v>
      </c>
      <c r="D2">
        <f>INPUT!F2</f>
        <v>0</v>
      </c>
      <c r="E2" s="58">
        <f>INPUT!H2</f>
        <v>41173</v>
      </c>
      <c r="F2">
        <f>INPUT!J2</f>
        <v>0</v>
      </c>
      <c r="G2">
        <f>INPUT!K2</f>
        <v>3000</v>
      </c>
      <c r="H2">
        <f>IF(input_parttime_percentage="",input_gewogen_parttime_percentage,input_parttime_percentage)</f>
        <v>80</v>
      </c>
      <c r="I2" s="77">
        <f>INPUT!N2</f>
        <v>109000</v>
      </c>
      <c r="J2" s="77">
        <f>I2*H2/100</f>
        <v>87200</v>
      </c>
      <c r="K2">
        <f>INPUT!P2</f>
        <v>0</v>
      </c>
      <c r="L2">
        <f>INPUT!Q2</f>
        <v>0</v>
      </c>
      <c r="M2">
        <f>INPUT!R2</f>
        <v>0</v>
      </c>
      <c r="N2" t="str">
        <f>INPUT!S2</f>
        <v>Gehuwd</v>
      </c>
    </row>
    <row r="3" spans="3:10" ht="13.5" thickBot="1">
      <c r="C3" s="58"/>
      <c r="E3" s="58"/>
      <c r="I3" s="77"/>
      <c r="J3" s="77"/>
    </row>
    <row r="4" spans="1:12" ht="13.5" thickBot="1">
      <c r="A4" s="114" t="s">
        <v>61</v>
      </c>
      <c r="B4" s="115">
        <f ca="1">IF(input_datum_in_dienst&gt;(DATE(YEAR(TODAY()),1,1)),input_datum_in_dienst,(DATE(YEAR(TODAY()),1,1)))</f>
        <v>42736</v>
      </c>
      <c r="C4" s="58"/>
      <c r="E4" s="58"/>
      <c r="I4" s="77"/>
      <c r="J4" s="77"/>
      <c r="K4" s="111" t="s">
        <v>164</v>
      </c>
      <c r="L4" s="111" t="s">
        <v>165</v>
      </c>
    </row>
    <row r="5" spans="9:12" ht="12.75">
      <c r="I5" s="94" t="s">
        <v>147</v>
      </c>
      <c r="K5" s="111">
        <f>input_max_pensioensalaris</f>
        <v>103000</v>
      </c>
      <c r="L5" s="111">
        <f>input_max_pensioensalaris_np</f>
        <v>99000</v>
      </c>
    </row>
    <row r="6" spans="1:15" ht="15">
      <c r="A6" s="67" t="s">
        <v>112</v>
      </c>
      <c r="B6" s="103" t="s">
        <v>136</v>
      </c>
      <c r="C6" s="67" t="s">
        <v>72</v>
      </c>
      <c r="D6" s="69" t="s">
        <v>47</v>
      </c>
      <c r="E6" s="67" t="s">
        <v>61</v>
      </c>
      <c r="F6" s="69" t="s">
        <v>18</v>
      </c>
      <c r="G6" s="70" t="s">
        <v>125</v>
      </c>
      <c r="H6" s="69" t="s">
        <v>146</v>
      </c>
      <c r="I6" s="69" t="s">
        <v>148</v>
      </c>
      <c r="J6" s="69"/>
      <c r="K6" s="67" t="s">
        <v>93</v>
      </c>
      <c r="L6" s="71" t="s">
        <v>4</v>
      </c>
      <c r="M6" s="68" t="s">
        <v>115</v>
      </c>
      <c r="N6" t="s">
        <v>95</v>
      </c>
      <c r="O6" t="s">
        <v>137</v>
      </c>
    </row>
    <row r="7" spans="1:15" ht="15.75" thickBot="1">
      <c r="A7" s="72">
        <f>C2</f>
        <v>25194</v>
      </c>
      <c r="B7" s="73">
        <f ca="1">(TODAY()-A7)/365.25</f>
        <v>48.58590006844627</v>
      </c>
      <c r="C7">
        <v>67</v>
      </c>
      <c r="D7" s="72">
        <f>DATE(YEAR(A7)+C7,MONTH(A7),1)</f>
        <v>49644</v>
      </c>
      <c r="E7" s="72">
        <f>B4</f>
        <v>42736</v>
      </c>
      <c r="F7" s="74">
        <f>(((YEAR(D7)-YEAR(E7))-1)+((MONTH(D7)-MONTH(E7))+12)/12)</f>
        <v>18.916666666666668</v>
      </c>
      <c r="G7" s="111">
        <f>input_op_perc_per_dj</f>
        <v>1.75</v>
      </c>
      <c r="H7">
        <f>F7*G7</f>
        <v>33.10416666666667</v>
      </c>
      <c r="I7" s="78">
        <f>(J2+M2)/H2*100</f>
        <v>109000</v>
      </c>
      <c r="J7" s="111">
        <f>input_franchise</f>
        <v>15152</v>
      </c>
      <c r="K7">
        <f>MIN(K5,(I7-J7)*H2/100)</f>
        <v>75078.4</v>
      </c>
      <c r="L7" s="83">
        <f>((H7*K7)/100)</f>
        <v>24854.078666666668</v>
      </c>
      <c r="M7" s="105">
        <f>G7*K7/100</f>
        <v>1313.8719999999998</v>
      </c>
      <c r="N7">
        <f>input_ml_aanspraak_op</f>
        <v>0</v>
      </c>
      <c r="O7" s="84">
        <f>N7+L7</f>
        <v>24854.078666666668</v>
      </c>
    </row>
    <row r="8" spans="1:13" ht="15.75" thickBot="1">
      <c r="A8" t="s">
        <v>117</v>
      </c>
      <c r="B8" s="92">
        <f>FLOOR(B7,1)</f>
        <v>48</v>
      </c>
      <c r="J8" s="111">
        <f>input_franchise_np</f>
        <v>16000</v>
      </c>
      <c r="K8">
        <f>MIN(L5,(I7-J8)*H2/100)</f>
        <v>74400</v>
      </c>
      <c r="M8" s="68"/>
    </row>
    <row r="9" spans="2:14" ht="15.75" thickBot="1">
      <c r="B9" s="76"/>
      <c r="F9" s="81"/>
      <c r="G9" s="62"/>
      <c r="H9" s="62"/>
      <c r="I9" s="93"/>
      <c r="J9" s="93"/>
      <c r="K9" s="68"/>
      <c r="L9" s="68"/>
      <c r="M9" s="68"/>
      <c r="N9" s="62"/>
    </row>
    <row r="10" spans="1:15" ht="15.75" thickBot="1">
      <c r="A10" s="106" t="s">
        <v>141</v>
      </c>
      <c r="B10" s="107"/>
      <c r="C10" s="108" t="str">
        <f>IF(input_burgerlijkestaat="Gehuwd","ja",IF(N2="Samenwonend","ja","nee"))</f>
        <v>ja</v>
      </c>
      <c r="D10" s="89"/>
      <c r="E10" s="76"/>
      <c r="F10" s="82"/>
      <c r="G10" s="109">
        <v>0.7</v>
      </c>
      <c r="H10" s="62"/>
      <c r="I10" s="93"/>
      <c r="J10" s="62"/>
      <c r="K10" s="62"/>
      <c r="L10" s="83"/>
      <c r="M10" s="75"/>
      <c r="N10" s="62"/>
      <c r="O10" t="s">
        <v>138</v>
      </c>
    </row>
    <row r="11" spans="1:15" ht="12.75">
      <c r="A11" s="88"/>
      <c r="B11" s="88"/>
      <c r="C11" s="89"/>
      <c r="D11" s="89"/>
      <c r="F11" s="62" t="s">
        <v>159</v>
      </c>
      <c r="G11" s="62">
        <f>G7*G10</f>
        <v>1.2249999999999999</v>
      </c>
      <c r="H11" s="62"/>
      <c r="I11" s="62"/>
      <c r="J11" s="62"/>
      <c r="K11" s="62"/>
      <c r="L11" s="62">
        <f>F7*G11*K8/100</f>
        <v>17240.65</v>
      </c>
      <c r="M11" s="128">
        <f>G11*K8/100</f>
        <v>911.3999999999999</v>
      </c>
      <c r="N11" s="62">
        <f>input_ml_aanspraak_np</f>
        <v>0</v>
      </c>
      <c r="O11" s="85">
        <f>L11+N11</f>
        <v>17240.65</v>
      </c>
    </row>
    <row r="12" spans="1:14" ht="15">
      <c r="A12" s="90"/>
      <c r="B12" s="90"/>
      <c r="C12" s="89"/>
      <c r="D12" s="89"/>
      <c r="F12" s="62"/>
      <c r="G12" s="62"/>
      <c r="H12" s="62"/>
      <c r="I12" s="62"/>
      <c r="J12" s="62"/>
      <c r="K12" s="68"/>
      <c r="L12" s="68"/>
      <c r="M12" s="68"/>
      <c r="N12" s="62"/>
    </row>
    <row r="13" spans="1:14" ht="15">
      <c r="A13" s="89"/>
      <c r="B13" s="89"/>
      <c r="C13" s="89"/>
      <c r="D13" s="89"/>
      <c r="F13" s="82"/>
      <c r="G13" s="62"/>
      <c r="H13" s="62"/>
      <c r="I13" s="62"/>
      <c r="J13" s="62"/>
      <c r="K13" s="62"/>
      <c r="L13" s="83"/>
      <c r="M13" s="75"/>
      <c r="N13" s="62"/>
    </row>
    <row r="14" spans="1:15" ht="12.75">
      <c r="A14" s="89"/>
      <c r="B14" s="89"/>
      <c r="C14" s="91"/>
      <c r="D14" s="89"/>
      <c r="F14" s="62"/>
      <c r="G14" s="109">
        <v>0.2</v>
      </c>
      <c r="H14" s="62"/>
      <c r="I14" s="62"/>
      <c r="J14" s="62"/>
      <c r="K14" s="62"/>
      <c r="L14" s="62"/>
      <c r="M14" s="62"/>
      <c r="N14" s="62"/>
      <c r="O14" t="s">
        <v>139</v>
      </c>
    </row>
    <row r="15" spans="1:15" ht="12.75">
      <c r="A15" s="88"/>
      <c r="B15" s="89"/>
      <c r="C15" s="91"/>
      <c r="D15" s="89"/>
      <c r="G15" s="111">
        <f>input_np_perc_per_dj</f>
        <v>1.225</v>
      </c>
      <c r="L15">
        <f>F7*G15*K8/100</f>
        <v>17240.65</v>
      </c>
      <c r="M15" s="129">
        <f>G15*K8/100</f>
        <v>911.4</v>
      </c>
      <c r="N15">
        <f>input_ml_aanspraak_wzp</f>
        <v>0</v>
      </c>
      <c r="O15" s="87">
        <f>O11*0.2+N15</f>
        <v>3448.1300000000006</v>
      </c>
    </row>
    <row r="16" spans="1:15" ht="12.75">
      <c r="A16" s="102" t="s">
        <v>160</v>
      </c>
      <c r="D16" s="102" t="s">
        <v>142</v>
      </c>
      <c r="O16" s="58"/>
    </row>
    <row r="17" spans="1:5" ht="12.75">
      <c r="A17" t="s">
        <v>4</v>
      </c>
      <c r="B17" s="66">
        <f>IF($B$2="Man",B33,C33)*M7/1000</f>
        <v>15570.697071999999</v>
      </c>
      <c r="D17" t="s">
        <v>143</v>
      </c>
      <c r="E17" s="104">
        <f>input_max_pensioensalaris</f>
        <v>103000</v>
      </c>
    </row>
    <row r="18" spans="1:6" ht="12.75">
      <c r="A18" t="s">
        <v>161</v>
      </c>
      <c r="B18" s="66">
        <f>IF($B$2="Man",B36,C36)*M11/1000</f>
        <v>2110.8024</v>
      </c>
      <c r="F18" s="77"/>
    </row>
    <row r="19" spans="1:6" ht="12.75">
      <c r="A19" t="s">
        <v>162</v>
      </c>
      <c r="B19" s="66">
        <f>IF($B$2="Man",B39,C39)*M15/1000</f>
        <v>171.3432</v>
      </c>
      <c r="F19" s="77"/>
    </row>
    <row r="20" spans="4:6" ht="13.5" thickBot="1">
      <c r="D20" t="s">
        <v>144</v>
      </c>
      <c r="F20" s="77">
        <f>MIN(I2-J7,E17)*H2/100</f>
        <v>75078.4</v>
      </c>
    </row>
    <row r="21" spans="4:6" ht="13.5" thickBot="1">
      <c r="D21" s="63" t="s">
        <v>145</v>
      </c>
      <c r="E21" s="110">
        <f>input_eb_perc_pg/100</f>
        <v>0.12</v>
      </c>
      <c r="F21" s="85">
        <f>F20*E21</f>
        <v>9009.408</v>
      </c>
    </row>
    <row r="24" spans="4:6" ht="12.75">
      <c r="D24" t="s">
        <v>149</v>
      </c>
      <c r="F24" s="96">
        <f>B17-F21</f>
        <v>6561.289072</v>
      </c>
    </row>
    <row r="26" ht="13.5" thickBot="1"/>
    <row r="27" spans="1:3" ht="12.75">
      <c r="A27" s="116"/>
      <c r="B27" s="117" t="str">
        <f>input_geslacht</f>
        <v>Vrouw</v>
      </c>
      <c r="C27" s="118" t="s">
        <v>163</v>
      </c>
    </row>
    <row r="28" spans="1:3" ht="12.75">
      <c r="A28" s="119" t="s">
        <v>166</v>
      </c>
      <c r="B28" s="120">
        <f>B8</f>
        <v>48</v>
      </c>
      <c r="C28" s="121">
        <f>B8</f>
        <v>48</v>
      </c>
    </row>
    <row r="29" spans="1:3" ht="12.75">
      <c r="A29" s="119" t="s">
        <v>174</v>
      </c>
      <c r="B29" s="89">
        <f>ROUNDDOWN(B28,0)</f>
        <v>48</v>
      </c>
      <c r="C29" s="122">
        <f>ROUNDDOWN(C28,0)</f>
        <v>48</v>
      </c>
    </row>
    <row r="30" spans="1:3" ht="12.75">
      <c r="A30" s="119" t="s">
        <v>175</v>
      </c>
      <c r="B30" s="89">
        <f>ROUNDUP(B28,0)</f>
        <v>48</v>
      </c>
      <c r="C30" s="122">
        <f>ROUNDUP(C28,0)</f>
        <v>48</v>
      </c>
    </row>
    <row r="31" spans="1:3" ht="12.75">
      <c r="A31" s="119" t="s">
        <v>176</v>
      </c>
      <c r="B31" s="89">
        <f>VLOOKUP(B29,'[3]Bierens Machinefabrieken'!$A$3:$J$53,5,FALSE)</f>
        <v>11059</v>
      </c>
      <c r="C31" s="122">
        <f>VLOOKUP(C29,'[3]Bierens Machinefabrieken'!$A$3:$J$53,8,FALSE)</f>
        <v>11851</v>
      </c>
    </row>
    <row r="32" spans="1:3" ht="12.75">
      <c r="A32" s="119" t="s">
        <v>177</v>
      </c>
      <c r="B32" s="89">
        <f>VLOOKUP(B30,'[3]Bierens Machinefabrieken'!$A$3:$J$53,5,FALSE)</f>
        <v>11059</v>
      </c>
      <c r="C32" s="122">
        <f>VLOOKUP(C30,'[3]Bierens Machinefabrieken'!$A$3:$J$53,8,FALSE)</f>
        <v>11851</v>
      </c>
    </row>
    <row r="33" spans="1:3" ht="12.75">
      <c r="A33" s="119" t="s">
        <v>178</v>
      </c>
      <c r="B33" s="123">
        <f>((B32-B31)*(B28-B29))+B31</f>
        <v>11059</v>
      </c>
      <c r="C33" s="124">
        <f>((C32-C31)*(C28-C29))+C31</f>
        <v>11851</v>
      </c>
    </row>
    <row r="34" spans="1:3" ht="12.75">
      <c r="A34" s="119" t="s">
        <v>179</v>
      </c>
      <c r="B34" s="89">
        <f>VLOOKUP(B29,'[3]Bierens Machinefabrieken'!$A$3:$J$53,6,FALSE)</f>
        <v>4382</v>
      </c>
      <c r="C34" s="122">
        <f>VLOOKUP(C29,'[3]Bierens Machinefabrieken'!$A$3:$J$53,9,FALSE)</f>
        <v>2316</v>
      </c>
    </row>
    <row r="35" spans="1:3" ht="12.75">
      <c r="A35" s="119" t="s">
        <v>180</v>
      </c>
      <c r="B35" s="89">
        <f>VLOOKUP(B30,'[3]Bierens Machinefabrieken'!$A$3:$J$53,6,FALSE)</f>
        <v>4382</v>
      </c>
      <c r="C35" s="122">
        <f>VLOOKUP(C30,'[3]Bierens Machinefabrieken'!$A$3:$J$534,9,FALSE)</f>
        <v>2316</v>
      </c>
    </row>
    <row r="36" spans="1:3" ht="12.75">
      <c r="A36" s="119" t="s">
        <v>181</v>
      </c>
      <c r="B36" s="123">
        <f>((B35-B34)*(B28-B29))+B34</f>
        <v>4382</v>
      </c>
      <c r="C36" s="124">
        <f>((C35-C34)*(C28-C29))+C34</f>
        <v>2316</v>
      </c>
    </row>
    <row r="37" spans="1:3" ht="12.75">
      <c r="A37" s="119" t="s">
        <v>182</v>
      </c>
      <c r="B37" s="89">
        <f>VLOOKUP(B29,'[3]Bierens Machinefabrieken'!$A$3:$J$53,7,FALSE)</f>
        <v>301</v>
      </c>
      <c r="C37" s="122">
        <f>VLOOKUP(C29,'[3]Bierens Machinefabrieken'!$A$3:$J$53,10,FALSE)</f>
        <v>188</v>
      </c>
    </row>
    <row r="38" spans="1:3" ht="12.75">
      <c r="A38" s="119" t="s">
        <v>183</v>
      </c>
      <c r="B38" s="89">
        <f>VLOOKUP(B30,'[3]Bierens Machinefabrieken'!$A$3:$J$53,7,FALSE)</f>
        <v>301</v>
      </c>
      <c r="C38" s="122">
        <f>VLOOKUP(C30,'[3]Bierens Machinefabrieken'!$A$3:$J$53,10,FALSE)</f>
        <v>188</v>
      </c>
    </row>
    <row r="39" spans="1:3" ht="13.5" thickBot="1">
      <c r="A39" s="125" t="s">
        <v>184</v>
      </c>
      <c r="B39" s="126">
        <f>((B38-B37)*(B28-B29))+B37</f>
        <v>301</v>
      </c>
      <c r="C39" s="127">
        <f>((C38-C37)*(C28-C29))+C37</f>
        <v>188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3"/>
  <sheetViews>
    <sheetView tabSelected="1" zoomScalePageLayoutView="0" workbookViewId="0" topLeftCell="A1">
      <selection activeCell="N32" sqref="N32"/>
    </sheetView>
  </sheetViews>
  <sheetFormatPr defaultColWidth="9.140625" defaultRowHeight="12.75"/>
  <cols>
    <col min="2" max="2" width="7.57421875" style="0" bestFit="1" customWidth="1"/>
    <col min="3" max="3" width="10.57421875" style="0" customWidth="1"/>
    <col min="4" max="4" width="10.28125" style="0" customWidth="1"/>
    <col min="5" max="5" width="19.7109375" style="0" bestFit="1" customWidth="1"/>
    <col min="6" max="6" width="16.00390625" style="0" bestFit="1" customWidth="1"/>
    <col min="7" max="7" width="15.421875" style="0" bestFit="1" customWidth="1"/>
    <col min="8" max="8" width="19.7109375" style="0" bestFit="1" customWidth="1"/>
    <col min="9" max="9" width="16.00390625" style="0" bestFit="1" customWidth="1"/>
    <col min="10" max="10" width="15.421875" style="0" bestFit="1" customWidth="1"/>
  </cols>
  <sheetData>
    <row r="1" spans="1:10" ht="12.75">
      <c r="A1" s="63" t="s">
        <v>166</v>
      </c>
      <c r="B1" s="63"/>
      <c r="C1" s="63" t="s">
        <v>167</v>
      </c>
      <c r="D1" s="63"/>
      <c r="E1" s="63" t="s">
        <v>168</v>
      </c>
      <c r="F1" s="63"/>
      <c r="G1" s="63"/>
      <c r="H1" s="63" t="s">
        <v>169</v>
      </c>
      <c r="I1" s="63"/>
      <c r="J1" s="63"/>
    </row>
    <row r="2" spans="1:10" ht="12.75">
      <c r="A2" s="63" t="s">
        <v>170</v>
      </c>
      <c r="B2" s="63" t="s">
        <v>171</v>
      </c>
      <c r="C2" s="63" t="s">
        <v>170</v>
      </c>
      <c r="D2" s="63" t="s">
        <v>171</v>
      </c>
      <c r="E2" s="63" t="s">
        <v>172</v>
      </c>
      <c r="F2" s="63" t="s">
        <v>49</v>
      </c>
      <c r="G2" s="63" t="s">
        <v>173</v>
      </c>
      <c r="H2" s="63" t="s">
        <v>172</v>
      </c>
      <c r="I2" s="63" t="s">
        <v>49</v>
      </c>
      <c r="J2" s="63" t="s">
        <v>173</v>
      </c>
    </row>
    <row r="3" spans="1:10" ht="12.75">
      <c r="A3">
        <v>16</v>
      </c>
      <c r="B3">
        <v>0</v>
      </c>
      <c r="C3">
        <v>50</v>
      </c>
      <c r="D3">
        <v>11</v>
      </c>
      <c r="E3" s="112">
        <v>6693</v>
      </c>
      <c r="F3" s="112">
        <v>2509</v>
      </c>
      <c r="G3">
        <v>967</v>
      </c>
      <c r="H3" s="112">
        <v>7185</v>
      </c>
      <c r="I3" s="112">
        <v>1280</v>
      </c>
      <c r="J3">
        <v>605</v>
      </c>
    </row>
    <row r="4" spans="1:10" ht="12.75">
      <c r="A4">
        <v>17</v>
      </c>
      <c r="B4">
        <v>0</v>
      </c>
      <c r="C4">
        <v>49</v>
      </c>
      <c r="D4">
        <v>11</v>
      </c>
      <c r="E4" s="112">
        <v>6860</v>
      </c>
      <c r="F4" s="112">
        <v>2571</v>
      </c>
      <c r="G4">
        <v>951</v>
      </c>
      <c r="H4" s="112">
        <v>7365</v>
      </c>
      <c r="I4" s="112">
        <v>1312</v>
      </c>
      <c r="J4">
        <v>596</v>
      </c>
    </row>
    <row r="5" spans="1:10" ht="12.75">
      <c r="A5">
        <v>18</v>
      </c>
      <c r="B5">
        <v>0</v>
      </c>
      <c r="C5">
        <v>48</v>
      </c>
      <c r="D5">
        <v>11</v>
      </c>
      <c r="E5" s="112">
        <v>7034</v>
      </c>
      <c r="F5" s="112">
        <v>2637</v>
      </c>
      <c r="G5">
        <v>936</v>
      </c>
      <c r="H5" s="112">
        <v>7550</v>
      </c>
      <c r="I5" s="112">
        <v>1344</v>
      </c>
      <c r="J5">
        <v>585</v>
      </c>
    </row>
    <row r="6" spans="1:10" ht="12.75">
      <c r="A6">
        <v>19</v>
      </c>
      <c r="B6">
        <v>0</v>
      </c>
      <c r="C6">
        <v>47</v>
      </c>
      <c r="D6">
        <v>11</v>
      </c>
      <c r="E6" s="112">
        <v>7209</v>
      </c>
      <c r="F6" s="112">
        <v>2701</v>
      </c>
      <c r="G6">
        <v>919</v>
      </c>
      <c r="H6" s="112">
        <v>7739</v>
      </c>
      <c r="I6" s="112">
        <v>1381</v>
      </c>
      <c r="J6">
        <v>576</v>
      </c>
    </row>
    <row r="7" spans="1:10" ht="12.75">
      <c r="A7">
        <v>20</v>
      </c>
      <c r="B7">
        <v>0</v>
      </c>
      <c r="C7">
        <v>46</v>
      </c>
      <c r="D7">
        <v>11</v>
      </c>
      <c r="E7" s="112">
        <v>7389</v>
      </c>
      <c r="F7" s="112">
        <v>2838</v>
      </c>
      <c r="G7">
        <v>904</v>
      </c>
      <c r="H7" s="112">
        <v>7931</v>
      </c>
      <c r="I7" s="112">
        <v>1415</v>
      </c>
      <c r="J7">
        <v>566</v>
      </c>
    </row>
    <row r="8" spans="1:10" ht="12.75">
      <c r="A8">
        <v>21</v>
      </c>
      <c r="B8">
        <v>0</v>
      </c>
      <c r="C8">
        <v>45</v>
      </c>
      <c r="D8">
        <v>11</v>
      </c>
      <c r="E8" s="112">
        <v>7577</v>
      </c>
      <c r="F8" s="112">
        <v>2907</v>
      </c>
      <c r="G8">
        <v>887</v>
      </c>
      <c r="H8" s="112">
        <v>8131</v>
      </c>
      <c r="I8" s="112">
        <v>1518</v>
      </c>
      <c r="J8">
        <v>555</v>
      </c>
    </row>
    <row r="9" spans="1:10" ht="12.75">
      <c r="A9">
        <v>22</v>
      </c>
      <c r="B9">
        <v>0</v>
      </c>
      <c r="C9">
        <v>44</v>
      </c>
      <c r="D9">
        <v>11</v>
      </c>
      <c r="E9" s="112">
        <v>7765</v>
      </c>
      <c r="F9" s="112">
        <v>2974</v>
      </c>
      <c r="G9">
        <v>870</v>
      </c>
      <c r="H9" s="112">
        <v>8335</v>
      </c>
      <c r="I9" s="112">
        <v>1552</v>
      </c>
      <c r="J9">
        <v>546</v>
      </c>
    </row>
    <row r="10" spans="1:10" ht="12.75">
      <c r="A10">
        <v>23</v>
      </c>
      <c r="B10">
        <v>0</v>
      </c>
      <c r="C10">
        <v>43</v>
      </c>
      <c r="D10">
        <v>11</v>
      </c>
      <c r="E10" s="112">
        <v>7960</v>
      </c>
      <c r="F10" s="112">
        <v>3044</v>
      </c>
      <c r="G10">
        <v>855</v>
      </c>
      <c r="H10" s="112">
        <v>8545</v>
      </c>
      <c r="I10" s="112">
        <v>1587</v>
      </c>
      <c r="J10">
        <v>535</v>
      </c>
    </row>
    <row r="11" spans="1:10" ht="12.75">
      <c r="A11">
        <v>24</v>
      </c>
      <c r="B11">
        <v>0</v>
      </c>
      <c r="C11">
        <v>42</v>
      </c>
      <c r="D11">
        <v>11</v>
      </c>
      <c r="E11" s="112">
        <v>8160</v>
      </c>
      <c r="F11" s="112">
        <v>3179</v>
      </c>
      <c r="G11">
        <v>838</v>
      </c>
      <c r="H11" s="112">
        <v>8758</v>
      </c>
      <c r="I11" s="112">
        <v>1622</v>
      </c>
      <c r="J11">
        <v>524</v>
      </c>
    </row>
    <row r="12" spans="1:10" ht="12.75">
      <c r="A12">
        <v>25</v>
      </c>
      <c r="B12">
        <v>0</v>
      </c>
      <c r="C12">
        <v>41</v>
      </c>
      <c r="D12">
        <v>11</v>
      </c>
      <c r="E12" s="112">
        <v>8366</v>
      </c>
      <c r="F12" s="112">
        <v>3247</v>
      </c>
      <c r="G12">
        <v>822</v>
      </c>
      <c r="H12" s="112">
        <v>8976</v>
      </c>
      <c r="I12" s="112">
        <v>1720</v>
      </c>
      <c r="J12">
        <v>514</v>
      </c>
    </row>
    <row r="13" spans="1:10" ht="12.75">
      <c r="A13">
        <v>26</v>
      </c>
      <c r="B13">
        <v>0</v>
      </c>
      <c r="C13">
        <v>40</v>
      </c>
      <c r="D13">
        <v>11</v>
      </c>
      <c r="E13" s="112">
        <v>8575</v>
      </c>
      <c r="F13" s="112">
        <v>3378</v>
      </c>
      <c r="G13">
        <v>805</v>
      </c>
      <c r="H13" s="112">
        <v>9202</v>
      </c>
      <c r="I13" s="112">
        <v>1755</v>
      </c>
      <c r="J13">
        <v>504</v>
      </c>
    </row>
    <row r="14" spans="1:10" ht="12.75">
      <c r="A14">
        <v>27</v>
      </c>
      <c r="B14">
        <v>0</v>
      </c>
      <c r="C14">
        <v>39</v>
      </c>
      <c r="D14">
        <v>11</v>
      </c>
      <c r="E14" s="112">
        <v>8792</v>
      </c>
      <c r="F14" s="112">
        <v>3513</v>
      </c>
      <c r="G14">
        <v>788</v>
      </c>
      <c r="H14" s="112">
        <v>9433</v>
      </c>
      <c r="I14" s="112">
        <v>1790</v>
      </c>
      <c r="J14">
        <v>494</v>
      </c>
    </row>
    <row r="15" spans="1:10" ht="12.75">
      <c r="A15">
        <v>28</v>
      </c>
      <c r="B15">
        <v>0</v>
      </c>
      <c r="C15">
        <v>38</v>
      </c>
      <c r="D15">
        <v>11</v>
      </c>
      <c r="E15" s="112">
        <v>9012</v>
      </c>
      <c r="F15" s="112">
        <v>3583</v>
      </c>
      <c r="G15">
        <v>771</v>
      </c>
      <c r="H15" s="112">
        <v>9669</v>
      </c>
      <c r="I15" s="112">
        <v>1828</v>
      </c>
      <c r="J15">
        <v>483</v>
      </c>
    </row>
    <row r="16" spans="1:10" ht="12.75">
      <c r="A16">
        <v>29</v>
      </c>
      <c r="B16">
        <v>0</v>
      </c>
      <c r="C16">
        <v>37</v>
      </c>
      <c r="D16">
        <v>11</v>
      </c>
      <c r="E16" s="112">
        <v>9237</v>
      </c>
      <c r="F16" s="112">
        <v>3656</v>
      </c>
      <c r="G16">
        <v>754</v>
      </c>
      <c r="H16" s="112">
        <v>9907</v>
      </c>
      <c r="I16" s="112">
        <v>1865</v>
      </c>
      <c r="J16">
        <v>472</v>
      </c>
    </row>
    <row r="17" spans="1:10" ht="12.75">
      <c r="A17">
        <v>30</v>
      </c>
      <c r="B17">
        <v>0</v>
      </c>
      <c r="C17">
        <v>36</v>
      </c>
      <c r="D17">
        <v>11</v>
      </c>
      <c r="E17" s="112">
        <v>9472</v>
      </c>
      <c r="F17" s="112">
        <v>3731</v>
      </c>
      <c r="G17">
        <v>738</v>
      </c>
      <c r="H17" s="112">
        <v>10158</v>
      </c>
      <c r="I17" s="112">
        <v>1901</v>
      </c>
      <c r="J17">
        <v>462</v>
      </c>
    </row>
    <row r="18" spans="1:10" ht="12.75">
      <c r="A18">
        <v>31</v>
      </c>
      <c r="B18">
        <v>0</v>
      </c>
      <c r="C18">
        <v>35</v>
      </c>
      <c r="D18">
        <v>11</v>
      </c>
      <c r="E18" s="112">
        <v>9709</v>
      </c>
      <c r="F18" s="112">
        <v>3809</v>
      </c>
      <c r="G18">
        <v>719</v>
      </c>
      <c r="H18" s="112">
        <v>10414</v>
      </c>
      <c r="I18" s="112">
        <v>2046</v>
      </c>
      <c r="J18">
        <v>451</v>
      </c>
    </row>
    <row r="19" spans="1:10" ht="12.75">
      <c r="A19">
        <v>32</v>
      </c>
      <c r="B19">
        <v>0</v>
      </c>
      <c r="C19">
        <v>34</v>
      </c>
      <c r="D19">
        <v>11</v>
      </c>
      <c r="E19" s="112">
        <v>9953</v>
      </c>
      <c r="F19" s="112">
        <v>3883</v>
      </c>
      <c r="G19">
        <v>703</v>
      </c>
      <c r="H19" s="112">
        <v>10675</v>
      </c>
      <c r="I19" s="112">
        <v>2080</v>
      </c>
      <c r="J19">
        <v>440</v>
      </c>
    </row>
    <row r="20" spans="1:10" ht="12.75">
      <c r="A20">
        <v>33</v>
      </c>
      <c r="B20">
        <v>0</v>
      </c>
      <c r="C20">
        <v>33</v>
      </c>
      <c r="D20">
        <v>11</v>
      </c>
      <c r="E20" s="112">
        <v>10203</v>
      </c>
      <c r="F20" s="112">
        <v>4063</v>
      </c>
      <c r="G20">
        <v>684</v>
      </c>
      <c r="H20" s="112">
        <v>10941</v>
      </c>
      <c r="I20" s="112">
        <v>2115</v>
      </c>
      <c r="J20">
        <v>428</v>
      </c>
    </row>
    <row r="21" spans="1:10" ht="12.75">
      <c r="A21">
        <v>34</v>
      </c>
      <c r="B21">
        <v>0</v>
      </c>
      <c r="C21">
        <v>32</v>
      </c>
      <c r="D21">
        <v>11</v>
      </c>
      <c r="E21" s="112">
        <v>10461</v>
      </c>
      <c r="F21" s="112">
        <v>4143</v>
      </c>
      <c r="G21">
        <v>667</v>
      </c>
      <c r="H21" s="112">
        <v>11215</v>
      </c>
      <c r="I21" s="112">
        <v>2246</v>
      </c>
      <c r="J21">
        <v>418</v>
      </c>
    </row>
    <row r="22" spans="1:10" ht="12.75">
      <c r="A22">
        <v>35</v>
      </c>
      <c r="B22">
        <v>0</v>
      </c>
      <c r="C22">
        <v>31</v>
      </c>
      <c r="D22">
        <v>11</v>
      </c>
      <c r="E22" s="112">
        <v>10725</v>
      </c>
      <c r="F22" s="112">
        <v>4219</v>
      </c>
      <c r="G22">
        <v>649</v>
      </c>
      <c r="H22" s="112">
        <v>11498</v>
      </c>
      <c r="I22" s="112">
        <v>2279</v>
      </c>
      <c r="J22">
        <v>407</v>
      </c>
    </row>
    <row r="23" spans="1:10" ht="12.75">
      <c r="A23">
        <v>36</v>
      </c>
      <c r="B23">
        <v>0</v>
      </c>
      <c r="C23">
        <v>30</v>
      </c>
      <c r="D23">
        <v>11</v>
      </c>
      <c r="E23" s="112">
        <v>10995</v>
      </c>
      <c r="F23" s="112">
        <v>4345</v>
      </c>
      <c r="G23">
        <v>631</v>
      </c>
      <c r="H23" s="112">
        <v>11787</v>
      </c>
      <c r="I23" s="112">
        <v>2403</v>
      </c>
      <c r="J23">
        <v>396</v>
      </c>
    </row>
    <row r="24" spans="1:10" ht="12.75">
      <c r="A24">
        <v>37</v>
      </c>
      <c r="B24">
        <v>0</v>
      </c>
      <c r="C24">
        <v>29</v>
      </c>
      <c r="D24">
        <v>11</v>
      </c>
      <c r="E24" s="112">
        <v>11273</v>
      </c>
      <c r="F24" s="112">
        <v>4511</v>
      </c>
      <c r="G24">
        <v>614</v>
      </c>
      <c r="H24" s="112">
        <v>12082</v>
      </c>
      <c r="I24" s="112">
        <v>2430</v>
      </c>
      <c r="J24">
        <v>384</v>
      </c>
    </row>
    <row r="25" spans="1:10" ht="12.75">
      <c r="A25">
        <v>38</v>
      </c>
      <c r="B25">
        <v>0</v>
      </c>
      <c r="C25">
        <v>28</v>
      </c>
      <c r="D25">
        <v>11</v>
      </c>
      <c r="E25" s="112">
        <v>11559</v>
      </c>
      <c r="F25" s="112">
        <v>4591</v>
      </c>
      <c r="G25">
        <v>596</v>
      </c>
      <c r="H25" s="112">
        <v>12386</v>
      </c>
      <c r="I25" s="112">
        <v>2459</v>
      </c>
      <c r="J25">
        <v>373</v>
      </c>
    </row>
    <row r="26" spans="1:10" ht="12.75">
      <c r="A26">
        <v>39</v>
      </c>
      <c r="B26">
        <v>0</v>
      </c>
      <c r="C26">
        <v>27</v>
      </c>
      <c r="D26">
        <v>11</v>
      </c>
      <c r="E26" s="112">
        <v>11850</v>
      </c>
      <c r="F26" s="112">
        <v>4751</v>
      </c>
      <c r="G26">
        <v>577</v>
      </c>
      <c r="H26" s="112">
        <v>12699</v>
      </c>
      <c r="I26" s="112">
        <v>2567</v>
      </c>
      <c r="J26">
        <v>361</v>
      </c>
    </row>
    <row r="27" spans="1:10" ht="12.75">
      <c r="A27">
        <v>40</v>
      </c>
      <c r="B27">
        <v>0</v>
      </c>
      <c r="C27">
        <v>26</v>
      </c>
      <c r="D27">
        <v>11</v>
      </c>
      <c r="E27" s="112">
        <v>12148</v>
      </c>
      <c r="F27" s="112">
        <v>4826</v>
      </c>
      <c r="G27">
        <v>559</v>
      </c>
      <c r="H27" s="112">
        <v>13021</v>
      </c>
      <c r="I27" s="112">
        <v>2671</v>
      </c>
      <c r="J27">
        <v>349</v>
      </c>
    </row>
    <row r="28" spans="1:10" ht="12.75">
      <c r="A28">
        <v>41</v>
      </c>
      <c r="B28">
        <v>0</v>
      </c>
      <c r="C28">
        <v>25</v>
      </c>
      <c r="D28">
        <v>11</v>
      </c>
      <c r="E28" s="112">
        <v>12457</v>
      </c>
      <c r="F28" s="112">
        <v>4979</v>
      </c>
      <c r="G28">
        <v>539</v>
      </c>
      <c r="H28" s="112">
        <v>13350</v>
      </c>
      <c r="I28" s="112">
        <v>2692</v>
      </c>
      <c r="J28">
        <v>337</v>
      </c>
    </row>
    <row r="29" spans="1:10" ht="12.75">
      <c r="A29">
        <v>42</v>
      </c>
      <c r="B29">
        <v>0</v>
      </c>
      <c r="C29">
        <v>24</v>
      </c>
      <c r="D29">
        <v>11</v>
      </c>
      <c r="E29" s="112">
        <v>12773</v>
      </c>
      <c r="F29" s="112">
        <v>5126</v>
      </c>
      <c r="G29">
        <v>521</v>
      </c>
      <c r="H29" s="112">
        <v>13691</v>
      </c>
      <c r="I29" s="112">
        <v>2748</v>
      </c>
      <c r="J29">
        <v>324</v>
      </c>
    </row>
    <row r="30" spans="1:10" ht="12.75">
      <c r="A30">
        <v>43</v>
      </c>
      <c r="B30">
        <v>0</v>
      </c>
      <c r="C30">
        <v>23</v>
      </c>
      <c r="D30">
        <v>11</v>
      </c>
      <c r="E30" s="112">
        <v>13097</v>
      </c>
      <c r="F30" s="112">
        <v>5199</v>
      </c>
      <c r="G30">
        <v>503</v>
      </c>
      <c r="H30" s="112">
        <v>14035</v>
      </c>
      <c r="I30" s="112">
        <v>2837</v>
      </c>
      <c r="J30">
        <v>314</v>
      </c>
    </row>
    <row r="31" spans="1:10" s="62" customFormat="1" ht="12.75">
      <c r="A31" s="62">
        <v>44</v>
      </c>
      <c r="B31" s="62">
        <v>0</v>
      </c>
      <c r="C31" s="62">
        <v>22</v>
      </c>
      <c r="D31" s="62">
        <v>11</v>
      </c>
      <c r="E31" s="113">
        <v>13433</v>
      </c>
      <c r="F31" s="113">
        <v>5339</v>
      </c>
      <c r="G31" s="62">
        <v>483</v>
      </c>
      <c r="H31" s="113">
        <v>14389</v>
      </c>
      <c r="I31" s="113">
        <v>2917</v>
      </c>
      <c r="J31" s="62">
        <v>302</v>
      </c>
    </row>
    <row r="32" spans="1:10" ht="12.75">
      <c r="A32">
        <v>45</v>
      </c>
      <c r="B32">
        <v>0</v>
      </c>
      <c r="C32">
        <v>21</v>
      </c>
      <c r="D32">
        <v>11</v>
      </c>
      <c r="E32" s="112">
        <v>13771</v>
      </c>
      <c r="F32" s="112">
        <v>5472</v>
      </c>
      <c r="G32">
        <v>463</v>
      </c>
      <c r="H32" s="112">
        <v>14759</v>
      </c>
      <c r="I32" s="112">
        <v>2960</v>
      </c>
      <c r="J32">
        <v>289</v>
      </c>
    </row>
    <row r="33" spans="1:10" ht="12.75">
      <c r="A33">
        <v>46</v>
      </c>
      <c r="B33">
        <v>0</v>
      </c>
      <c r="C33">
        <v>20</v>
      </c>
      <c r="D33">
        <v>11</v>
      </c>
      <c r="E33" s="112">
        <v>14124</v>
      </c>
      <c r="F33" s="112">
        <v>5600</v>
      </c>
      <c r="G33">
        <v>445</v>
      </c>
      <c r="H33" s="112">
        <v>15134</v>
      </c>
      <c r="I33" s="112">
        <v>3028</v>
      </c>
      <c r="J33">
        <v>277</v>
      </c>
    </row>
    <row r="34" spans="1:10" ht="12.75">
      <c r="A34">
        <v>47</v>
      </c>
      <c r="B34">
        <v>0</v>
      </c>
      <c r="C34">
        <v>19</v>
      </c>
      <c r="D34">
        <v>11</v>
      </c>
      <c r="E34" s="112">
        <v>14487</v>
      </c>
      <c r="F34" s="112">
        <v>5776</v>
      </c>
      <c r="G34">
        <v>425</v>
      </c>
      <c r="H34" s="112">
        <v>15520</v>
      </c>
      <c r="I34" s="112">
        <v>3059</v>
      </c>
      <c r="J34">
        <v>265</v>
      </c>
    </row>
    <row r="35" spans="1:10" ht="12.75">
      <c r="A35">
        <v>48</v>
      </c>
      <c r="B35">
        <v>0</v>
      </c>
      <c r="C35">
        <v>18</v>
      </c>
      <c r="D35">
        <v>11</v>
      </c>
      <c r="E35" s="112">
        <v>14856</v>
      </c>
      <c r="F35" s="112">
        <v>5887</v>
      </c>
      <c r="G35">
        <v>405</v>
      </c>
      <c r="H35" s="112">
        <v>15920</v>
      </c>
      <c r="I35" s="112">
        <v>3112</v>
      </c>
      <c r="J35">
        <v>253</v>
      </c>
    </row>
    <row r="36" spans="1:10" ht="12.75">
      <c r="A36">
        <v>49</v>
      </c>
      <c r="B36">
        <v>0</v>
      </c>
      <c r="C36">
        <v>17</v>
      </c>
      <c r="D36">
        <v>11</v>
      </c>
      <c r="E36" s="112">
        <v>15243</v>
      </c>
      <c r="F36" s="112">
        <v>6017</v>
      </c>
      <c r="G36">
        <v>385</v>
      </c>
      <c r="H36" s="112">
        <v>16328</v>
      </c>
      <c r="I36" s="112">
        <v>3130</v>
      </c>
      <c r="J36">
        <v>240</v>
      </c>
    </row>
    <row r="37" spans="1:10" ht="12.75">
      <c r="A37">
        <v>50</v>
      </c>
      <c r="B37">
        <v>0</v>
      </c>
      <c r="C37">
        <v>16</v>
      </c>
      <c r="D37">
        <v>11</v>
      </c>
      <c r="E37" s="112">
        <v>15636</v>
      </c>
      <c r="F37" s="112">
        <v>6161</v>
      </c>
      <c r="G37">
        <v>365</v>
      </c>
      <c r="H37" s="112">
        <v>16750</v>
      </c>
      <c r="I37" s="112">
        <v>3147</v>
      </c>
      <c r="J37">
        <v>227</v>
      </c>
    </row>
    <row r="38" spans="1:10" ht="12.75">
      <c r="A38">
        <v>51</v>
      </c>
      <c r="B38">
        <v>0</v>
      </c>
      <c r="C38">
        <v>15</v>
      </c>
      <c r="D38">
        <v>11</v>
      </c>
      <c r="E38" s="112">
        <v>16039</v>
      </c>
      <c r="F38" s="112">
        <v>6292</v>
      </c>
      <c r="G38">
        <v>344</v>
      </c>
      <c r="H38" s="112">
        <v>17184</v>
      </c>
      <c r="I38" s="112">
        <v>3180</v>
      </c>
      <c r="J38">
        <v>215</v>
      </c>
    </row>
    <row r="39" spans="1:10" ht="12.75">
      <c r="A39">
        <v>52</v>
      </c>
      <c r="B39">
        <v>0</v>
      </c>
      <c r="C39">
        <v>14</v>
      </c>
      <c r="D39">
        <v>11</v>
      </c>
      <c r="E39" s="112">
        <v>16462</v>
      </c>
      <c r="F39" s="112">
        <v>6406</v>
      </c>
      <c r="G39">
        <v>324</v>
      </c>
      <c r="H39" s="112">
        <v>17631</v>
      </c>
      <c r="I39" s="112">
        <v>3209</v>
      </c>
      <c r="J39">
        <v>201</v>
      </c>
    </row>
    <row r="40" spans="1:10" ht="12.75">
      <c r="A40">
        <v>53</v>
      </c>
      <c r="B40">
        <v>0</v>
      </c>
      <c r="C40">
        <v>13</v>
      </c>
      <c r="D40">
        <v>11</v>
      </c>
      <c r="E40" s="112">
        <v>16891</v>
      </c>
      <c r="F40" s="112">
        <v>6506</v>
      </c>
      <c r="G40">
        <v>301</v>
      </c>
      <c r="H40" s="112">
        <v>18092</v>
      </c>
      <c r="I40" s="112">
        <v>3210</v>
      </c>
      <c r="J40">
        <v>189</v>
      </c>
    </row>
    <row r="41" spans="1:10" ht="12.75">
      <c r="A41">
        <v>54</v>
      </c>
      <c r="B41">
        <v>0</v>
      </c>
      <c r="C41">
        <v>12</v>
      </c>
      <c r="D41">
        <v>11</v>
      </c>
      <c r="E41" s="112">
        <v>17336</v>
      </c>
      <c r="F41" s="112">
        <v>6573</v>
      </c>
      <c r="G41">
        <v>280</v>
      </c>
      <c r="H41" s="112">
        <v>18566</v>
      </c>
      <c r="I41" s="112">
        <v>3240</v>
      </c>
      <c r="J41">
        <v>175</v>
      </c>
    </row>
    <row r="42" spans="1:10" ht="12.75">
      <c r="A42">
        <v>55</v>
      </c>
      <c r="B42">
        <v>0</v>
      </c>
      <c r="C42">
        <v>11</v>
      </c>
      <c r="D42">
        <v>11</v>
      </c>
      <c r="E42" s="112">
        <v>17796</v>
      </c>
      <c r="F42" s="112">
        <v>6661</v>
      </c>
      <c r="G42">
        <v>260</v>
      </c>
      <c r="H42" s="112">
        <v>19055</v>
      </c>
      <c r="I42" s="112">
        <v>3275</v>
      </c>
      <c r="J42">
        <v>163</v>
      </c>
    </row>
    <row r="43" spans="1:10" ht="12.75">
      <c r="A43">
        <v>56</v>
      </c>
      <c r="B43">
        <v>0</v>
      </c>
      <c r="C43">
        <v>10</v>
      </c>
      <c r="D43">
        <v>11</v>
      </c>
      <c r="E43" s="112">
        <v>18273</v>
      </c>
      <c r="F43" s="112">
        <v>6730</v>
      </c>
      <c r="G43">
        <v>239</v>
      </c>
      <c r="H43" s="112">
        <v>19558</v>
      </c>
      <c r="I43" s="112">
        <v>3264</v>
      </c>
      <c r="J43">
        <v>149</v>
      </c>
    </row>
    <row r="44" spans="1:10" ht="12.75">
      <c r="A44">
        <v>57</v>
      </c>
      <c r="B44">
        <v>0</v>
      </c>
      <c r="C44">
        <v>9</v>
      </c>
      <c r="D44">
        <v>11</v>
      </c>
      <c r="E44" s="112">
        <v>18765</v>
      </c>
      <c r="F44" s="112">
        <v>6780</v>
      </c>
      <c r="G44">
        <v>216</v>
      </c>
      <c r="H44" s="112">
        <v>20079</v>
      </c>
      <c r="I44" s="112">
        <v>3271</v>
      </c>
      <c r="J44">
        <v>135</v>
      </c>
    </row>
    <row r="45" spans="1:10" ht="12.75">
      <c r="A45">
        <v>58</v>
      </c>
      <c r="B45">
        <v>0</v>
      </c>
      <c r="C45">
        <v>8</v>
      </c>
      <c r="D45">
        <v>11</v>
      </c>
      <c r="E45" s="112">
        <v>19273</v>
      </c>
      <c r="F45" s="112">
        <v>6801</v>
      </c>
      <c r="G45">
        <v>194</v>
      </c>
      <c r="H45" s="112">
        <v>20617</v>
      </c>
      <c r="I45" s="112">
        <v>3251</v>
      </c>
      <c r="J45">
        <v>121</v>
      </c>
    </row>
    <row r="46" spans="1:10" ht="12.75">
      <c r="A46">
        <v>59</v>
      </c>
      <c r="B46">
        <v>0</v>
      </c>
      <c r="C46">
        <v>7</v>
      </c>
      <c r="D46">
        <v>11</v>
      </c>
      <c r="E46" s="112">
        <v>19801</v>
      </c>
      <c r="F46" s="112">
        <v>6847</v>
      </c>
      <c r="G46">
        <v>173</v>
      </c>
      <c r="H46" s="112">
        <v>21170</v>
      </c>
      <c r="I46" s="112">
        <v>3236</v>
      </c>
      <c r="J46">
        <v>108</v>
      </c>
    </row>
    <row r="47" spans="1:10" ht="12.75">
      <c r="A47">
        <v>60</v>
      </c>
      <c r="B47">
        <v>0</v>
      </c>
      <c r="C47">
        <v>6</v>
      </c>
      <c r="D47">
        <v>11</v>
      </c>
      <c r="E47" s="112">
        <v>20347</v>
      </c>
      <c r="F47" s="112">
        <v>6843</v>
      </c>
      <c r="G47">
        <v>150</v>
      </c>
      <c r="H47" s="112">
        <v>21742</v>
      </c>
      <c r="I47" s="112">
        <v>3192</v>
      </c>
      <c r="J47">
        <v>94</v>
      </c>
    </row>
    <row r="48" spans="1:10" ht="12.75">
      <c r="A48">
        <v>61</v>
      </c>
      <c r="B48">
        <v>0</v>
      </c>
      <c r="C48">
        <v>5</v>
      </c>
      <c r="D48">
        <v>11</v>
      </c>
      <c r="E48" s="112">
        <v>20913</v>
      </c>
      <c r="F48" s="112">
        <v>6827</v>
      </c>
      <c r="G48">
        <v>127</v>
      </c>
      <c r="H48" s="112">
        <v>22334</v>
      </c>
      <c r="I48" s="112">
        <v>3145</v>
      </c>
      <c r="J48">
        <v>80</v>
      </c>
    </row>
    <row r="49" spans="1:10" ht="12.75">
      <c r="A49">
        <v>62</v>
      </c>
      <c r="B49">
        <v>0</v>
      </c>
      <c r="C49">
        <v>4</v>
      </c>
      <c r="D49">
        <v>11</v>
      </c>
      <c r="E49" s="112">
        <v>21504</v>
      </c>
      <c r="F49" s="112">
        <v>6800</v>
      </c>
      <c r="G49">
        <v>104</v>
      </c>
      <c r="H49" s="112">
        <v>22948</v>
      </c>
      <c r="I49" s="112">
        <v>3070</v>
      </c>
      <c r="J49">
        <v>65</v>
      </c>
    </row>
    <row r="50" spans="1:10" ht="12.75">
      <c r="A50">
        <v>63</v>
      </c>
      <c r="B50">
        <v>0</v>
      </c>
      <c r="C50">
        <v>3</v>
      </c>
      <c r="D50">
        <v>11</v>
      </c>
      <c r="E50" s="112">
        <v>22119</v>
      </c>
      <c r="F50" s="112">
        <v>6712</v>
      </c>
      <c r="G50">
        <v>81</v>
      </c>
      <c r="H50" s="112">
        <v>23583</v>
      </c>
      <c r="I50" s="112">
        <v>2967</v>
      </c>
      <c r="J50">
        <v>51</v>
      </c>
    </row>
    <row r="51" spans="1:10" ht="12.75">
      <c r="A51">
        <v>64</v>
      </c>
      <c r="B51">
        <v>0</v>
      </c>
      <c r="C51">
        <v>2</v>
      </c>
      <c r="D51">
        <v>11</v>
      </c>
      <c r="E51" s="112">
        <v>22755</v>
      </c>
      <c r="F51" s="112">
        <v>6602</v>
      </c>
      <c r="G51">
        <v>58</v>
      </c>
      <c r="H51" s="112">
        <v>24243</v>
      </c>
      <c r="I51" s="112">
        <v>2842</v>
      </c>
      <c r="J51">
        <v>36</v>
      </c>
    </row>
    <row r="52" spans="1:10" ht="12.75">
      <c r="A52">
        <v>65</v>
      </c>
      <c r="B52">
        <v>0</v>
      </c>
      <c r="C52">
        <v>1</v>
      </c>
      <c r="D52">
        <v>11</v>
      </c>
      <c r="E52" s="112">
        <v>23424</v>
      </c>
      <c r="F52" s="112">
        <v>6453</v>
      </c>
      <c r="G52">
        <v>34</v>
      </c>
      <c r="H52" s="112">
        <v>24930</v>
      </c>
      <c r="I52" s="112">
        <v>2690</v>
      </c>
      <c r="J52">
        <v>21</v>
      </c>
    </row>
    <row r="53" spans="1:10" ht="12.75">
      <c r="A53">
        <v>66</v>
      </c>
      <c r="B53">
        <v>0</v>
      </c>
      <c r="C53">
        <v>0</v>
      </c>
      <c r="D53">
        <v>11</v>
      </c>
      <c r="E53" s="112">
        <v>24124</v>
      </c>
      <c r="F53" s="112">
        <v>6281</v>
      </c>
      <c r="G53">
        <v>11</v>
      </c>
      <c r="H53" s="112">
        <v>25649</v>
      </c>
      <c r="I53" s="112">
        <v>2524</v>
      </c>
      <c r="J53">
        <v>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Nationale-Nederlanden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H.C. (Ho Chi)</dc:creator>
  <cp:keywords/>
  <dc:description/>
  <cp:lastModifiedBy>GJ van Dalen</cp:lastModifiedBy>
  <dcterms:created xsi:type="dcterms:W3CDTF">2015-01-12T16:15:09Z</dcterms:created>
  <dcterms:modified xsi:type="dcterms:W3CDTF">2017-07-24T14:28:21Z</dcterms:modified>
  <cp:category/>
  <cp:version/>
  <cp:contentType/>
  <cp:contentStatus/>
</cp:coreProperties>
</file>