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4010" activeTab="2"/>
  </bookViews>
  <sheets>
    <sheet name="OUTPUT" sheetId="1" r:id="rId1"/>
    <sheet name="INPUT" sheetId="2" r:id="rId2"/>
    <sheet name="Berekening" sheetId="3" r:id="rId3"/>
    <sheet name="Premie x PG lft" sheetId="4" r:id="rId4"/>
  </sheets>
  <externalReferences>
    <externalReference r:id="rId7"/>
  </externalReferences>
  <definedNames>
    <definedName name="gebdd2">'[1]INPUT'!$B$2</definedName>
    <definedName name="input_aantal_kinderen">'INPUT'!$CQ$2</definedName>
    <definedName name="input_achternaam">'INPUT'!$Q$2</definedName>
    <definedName name="input_bedrijfsnaam">'INPUT'!$A$2</definedName>
    <definedName name="input_bp_actuelewaarde">'INPUT'!$IV$2</definedName>
    <definedName name="input_burgerlijkestaat">'INPUT'!$BS$2</definedName>
    <definedName name="input_datum_in_dienst">'INPUT'!$AJ$2</definedName>
    <definedName name="input_deelname_nabestaandenpensioen">'INPUT'!$CG$2</definedName>
    <definedName name="input_deelname_pensioenregeling_1">'INPUT'!$CD$2</definedName>
    <definedName name="input_deelname_pensioenregeling_2">'INPUT'!$CE$2</definedName>
    <definedName name="input_deelname_pensioenregeling_3">'INPUT'!$CF$2</definedName>
    <definedName name="input_franchise">'INPUT'!$CW$2</definedName>
    <definedName name="input_franchise_np">'INPUT'!$CX$2</definedName>
    <definedName name="input_fulltime_salaris">'INPUT'!$AN$2</definedName>
    <definedName name="input_geboortedatum">'INPUT'!$S$2</definedName>
    <definedName name="input_geboortedatum_partner">'INPUT'!$CB$2</definedName>
    <definedName name="input_geslacht">'INPUT'!$R$2</definedName>
    <definedName name="input_geslacht_partner">'INPUT'!$CA$2</definedName>
    <definedName name="input_parttime_percentage">'INPUT'!$AM$2</definedName>
    <definedName name="input_pensioengevend_salaris">'INPUT'!$CY$2</definedName>
    <definedName name="input_pensioengrondslag">'INPUT'!$CZ$2</definedName>
    <definedName name="input_pensioenleeftijd">'INPUT'!$DB$2</definedName>
    <definedName name="input_periodesalaris">'INPUT'!$AL$2</definedName>
    <definedName name="input_wijzigingsdatum">'INPUT'!$CV$2</definedName>
    <definedName name="output_franchise">'OUTPUT'!$B$2</definedName>
    <definedName name="output_franchise_np">'OUTPUT'!$C$2</definedName>
    <definedName name="output_franchise_op">'OUTPUT'!$B$2</definedName>
    <definedName name="output_gewogen_parttime_perc">'OUTPUT'!$S$2</definedName>
    <definedName name="output_kapitaal_defensief">'OUTPUT'!$U$2</definedName>
    <definedName name="output_kapitaal_neutraal">'OUTPUT'!$W$2</definedName>
    <definedName name="output_kapitaal_offensief">'OUTPUT'!$Y$2</definedName>
    <definedName name="output_np_indicatie">'OUTPUT'!$Z$2</definedName>
    <definedName name="output_partnerpensioen">'OUTPUT'!$H$2</definedName>
    <definedName name="output_partnerpensioen_kapitaal">'OUTPUT'!$G$2</definedName>
    <definedName name="output_pensioen">'OUTPUT'!$F$2</definedName>
    <definedName name="output_pensioen_grondslag">'OUTPUT'!$D$2</definedName>
    <definedName name="output_pensioen_kapitaal">'OUTPUT'!$E$2</definedName>
    <definedName name="output_pensioengevend_jaarsalaris">'OUTPUT'!$A$2</definedName>
    <definedName name="output_premie_pj_np">'OUTPUT'!$M$2</definedName>
    <definedName name="output_premie_pj_op">'OUTPUT'!$J$2</definedName>
    <definedName name="output_premie_pj_wzp">'OUTPUT'!$P$2</definedName>
    <definedName name="output_premie_wg_np">'OUTPUT'!$N$2</definedName>
    <definedName name="output_premie_wg_op">'OUTPUT'!$K$2</definedName>
    <definedName name="output_premie_wg_wzp">'OUTPUT'!$Q$2</definedName>
    <definedName name="output_premie_wn_np">'OUTPUT'!$O$2</definedName>
    <definedName name="output_premie_wn_op">'OUTPUT'!$L$2</definedName>
    <definedName name="output_premie_wn_wzp">'OUTPUT'!$R$2</definedName>
    <definedName name="output_uitkering_defensief">'OUTPUT'!$T$2</definedName>
    <definedName name="output_uitkering_neutraal">'OUTPUT'!$V$2</definedName>
    <definedName name="output_uitkering_offensief">'OUTPUT'!$X$2</definedName>
    <definedName name="output_wezenpensioen">'OUTPUT'!$I$2</definedName>
  </definedNames>
  <calcPr fullCalcOnLoad="1"/>
</workbook>
</file>

<file path=xl/sharedStrings.xml><?xml version="1.0" encoding="utf-8"?>
<sst xmlns="http://schemas.openxmlformats.org/spreadsheetml/2006/main" count="348" uniqueCount="340">
  <si>
    <t>output_uitkering_neutraal</t>
  </si>
  <si>
    <t>Premie per jr</t>
  </si>
  <si>
    <t>Parttime_percentage</t>
  </si>
  <si>
    <t>NP_Wijzigingsdatum</t>
  </si>
  <si>
    <t>OP_3_Waardeoverdracht</t>
  </si>
  <si>
    <t>WGA_excedent_contractnummer</t>
  </si>
  <si>
    <t>NP</t>
  </si>
  <si>
    <t>Bedrijf_email</t>
  </si>
  <si>
    <t>Rekeningnummer</t>
  </si>
  <si>
    <t>Contract_startdatum</t>
  </si>
  <si>
    <t>Email_werk</t>
  </si>
  <si>
    <t>Werkuren_zaterdag</t>
  </si>
  <si>
    <t>Burg staat</t>
  </si>
  <si>
    <t>OP_3_NP_jaarpremie</t>
  </si>
  <si>
    <t>OP_2_OP_premie_WG</t>
  </si>
  <si>
    <t>Werkuren_maandag</t>
  </si>
  <si>
    <t>Wettelijke_verlofuren</t>
  </si>
  <si>
    <t>OP_2_OP_premie_WN</t>
  </si>
  <si>
    <t>OP_2_OP_jaarpremie</t>
  </si>
  <si>
    <t>Bedrijfsnaam</t>
  </si>
  <si>
    <t>OP_3_Pensioenleeftijd</t>
  </si>
  <si>
    <t>WGA_hiaat_stijgende_uitkering</t>
  </si>
  <si>
    <t>output_kapitaal_defensief</t>
  </si>
  <si>
    <t>Moment leeftijdsberekening</t>
  </si>
  <si>
    <t>WGA_hiaat_dagloongrens</t>
  </si>
  <si>
    <t>OP_3_Pensioengrondslag</t>
  </si>
  <si>
    <t>Contracttype</t>
  </si>
  <si>
    <t>Franchise_NP</t>
  </si>
  <si>
    <t>ANW_jaarpremie</t>
  </si>
  <si>
    <t>Bonus</t>
  </si>
  <si>
    <t>Bijsparen_verzekeraar</t>
  </si>
  <si>
    <t>Premie verdeling WN</t>
  </si>
  <si>
    <t>WGA_hiaat_aanvulling_ingangsdatum</t>
  </si>
  <si>
    <t>WGA_hiaat_aanvulling_polisnummer</t>
  </si>
  <si>
    <t>Wettelijke_verlofuren_aangevraagd</t>
  </si>
  <si>
    <t>PD</t>
  </si>
  <si>
    <t>OP_3_NP_kapitaal</t>
  </si>
  <si>
    <t>Deelname_Ongevallen</t>
  </si>
  <si>
    <t>Ongevallen_contractnummer</t>
  </si>
  <si>
    <t>Gewogen parttime %</t>
  </si>
  <si>
    <t>Achternaam</t>
  </si>
  <si>
    <t>OP_1_OP_premie_WG</t>
  </si>
  <si>
    <t>Toevoeging</t>
  </si>
  <si>
    <t>WzP premie werknemer</t>
  </si>
  <si>
    <t>Deelname_WGA_Excedent</t>
  </si>
  <si>
    <t>NP_Waardeoverdracht</t>
  </si>
  <si>
    <t>OP_1_OP_premie_WN</t>
  </si>
  <si>
    <t>OP_1_OP_pensioen</t>
  </si>
  <si>
    <t>Franchise</t>
  </si>
  <si>
    <t>OP_2_Wezenpensioen</t>
  </si>
  <si>
    <t>Franchise OP</t>
  </si>
  <si>
    <t>Datum_in_dienst</t>
  </si>
  <si>
    <t>Adres</t>
  </si>
  <si>
    <t>OP_3_Polisnummer</t>
  </si>
  <si>
    <t>OP_2_Polisnummer</t>
  </si>
  <si>
    <t>Leeftijd</t>
  </si>
  <si>
    <t>Deelname_ANW_Hiaat</t>
  </si>
  <si>
    <t>Bijsparen_kapitaal</t>
  </si>
  <si>
    <t>WGA_excedent_premie_WG</t>
  </si>
  <si>
    <t>OP_2_Waardeoverdracht</t>
  </si>
  <si>
    <t>Bedrijf_faxnummer</t>
  </si>
  <si>
    <t>OP_1_Polisnummer</t>
  </si>
  <si>
    <t>Verlofjaar</t>
  </si>
  <si>
    <t>WGA_hiaat_premie_WG</t>
  </si>
  <si>
    <t>Eigen bijdrage</t>
  </si>
  <si>
    <t>WGA_excedent_verzekeraar</t>
  </si>
  <si>
    <t>Factor</t>
  </si>
  <si>
    <t>% per DJ</t>
  </si>
  <si>
    <t>OP_3_Wijzigingsdatum</t>
  </si>
  <si>
    <t>NP_premie_WG</t>
  </si>
  <si>
    <t>Plaats</t>
  </si>
  <si>
    <t>Bovenwettelijke_verlofuren_opgenomen</t>
  </si>
  <si>
    <t>Jaarpremie</t>
  </si>
  <si>
    <t>ANW_kapitaal</t>
  </si>
  <si>
    <t>OP_1_NP_jaarpremie</t>
  </si>
  <si>
    <t>WGA_excedent_eindleeftijd</t>
  </si>
  <si>
    <t>WGA_hiaat_verzekeraar_aanvulling</t>
  </si>
  <si>
    <t>INVULLEN</t>
  </si>
  <si>
    <t>WGA_hiaat_aanvulling_jaarpremie</t>
  </si>
  <si>
    <t>Salaris</t>
  </si>
  <si>
    <t>ANW_contractnummer</t>
  </si>
  <si>
    <t>Tussenvoegsel</t>
  </si>
  <si>
    <t>Bedrijf_toevoeging</t>
  </si>
  <si>
    <t>OP_1_Ingangsdatum</t>
  </si>
  <si>
    <t>OP_3_OP_premie_WG</t>
  </si>
  <si>
    <t>Pensioenkapitaal Offensief</t>
  </si>
  <si>
    <t>Wijzigingsdatum</t>
  </si>
  <si>
    <t>Werkuren_donderdag</t>
  </si>
  <si>
    <t>NP_jaarpremie</t>
  </si>
  <si>
    <t>OP_3_OP_premie_WN</t>
  </si>
  <si>
    <t>WGA_excedent_polisnummer</t>
  </si>
  <si>
    <t>WGA_hiaat_jaarpremie_aanvulling</t>
  </si>
  <si>
    <t>FT loon</t>
  </si>
  <si>
    <t>WGA_hiaat_ingangsdatum</t>
  </si>
  <si>
    <t>Bedrijf_adres</t>
  </si>
  <si>
    <t>WGA_hiaat_aanvulling_premie_WG</t>
  </si>
  <si>
    <t>lft</t>
  </si>
  <si>
    <t>Deelname_Nabestaandenpensioen</t>
  </si>
  <si>
    <t>WN deel</t>
  </si>
  <si>
    <t>Werkelijk_jaarloon</t>
  </si>
  <si>
    <t>OP_3_Franchise_NP</t>
  </si>
  <si>
    <t>staffel %</t>
  </si>
  <si>
    <t>Premie verdeling WG</t>
  </si>
  <si>
    <t>Looptijd</t>
  </si>
  <si>
    <t>Aantal jaren tussen DID en PD</t>
  </si>
  <si>
    <t>Bijsparen_premie_WN</t>
  </si>
  <si>
    <t>WGA_hiaat_contractnummer_aanvulling</t>
  </si>
  <si>
    <t>Contract_einddatum</t>
  </si>
  <si>
    <t>NP Premie werkgever</t>
  </si>
  <si>
    <t>WGA_excedent_jaarpremie</t>
  </si>
  <si>
    <t>Pensioengrondslag</t>
  </si>
  <si>
    <t>Datum_uit_dienst</t>
  </si>
  <si>
    <t>Geboortedatum_partner</t>
  </si>
  <si>
    <t>%</t>
  </si>
  <si>
    <t>LEEFTIJD &gt;</t>
  </si>
  <si>
    <t>WGA_hiaat_contractnummer</t>
  </si>
  <si>
    <t>Bijsparen_polisnummer</t>
  </si>
  <si>
    <t>Verdeling%</t>
  </si>
  <si>
    <t>OP_2_NP_premie_WG</t>
  </si>
  <si>
    <t>Werkuren_zondag</t>
  </si>
  <si>
    <t>NP_WZP_jaarpremie</t>
  </si>
  <si>
    <t>OP_2_NP_premie_WN</t>
  </si>
  <si>
    <t>WGA_excedent_excedent</t>
  </si>
  <si>
    <t>WzP Jaarpremie</t>
  </si>
  <si>
    <t>Bedrijf_post_plaats</t>
  </si>
  <si>
    <t>ANW_polisnummer</t>
  </si>
  <si>
    <t>NP_Contractnummer</t>
  </si>
  <si>
    <t>Bedrijf_postcode</t>
  </si>
  <si>
    <t>Bedrijf_post_adres</t>
  </si>
  <si>
    <t>Geb dd</t>
  </si>
  <si>
    <t>NP van toepassing?</t>
  </si>
  <si>
    <t>WGA_hiaat_aanvulling_premie_WN</t>
  </si>
  <si>
    <t>partnerpensioen</t>
  </si>
  <si>
    <t>OP_3_Pensioengevend_Salaris</t>
  </si>
  <si>
    <t>OP_3_Ingangsdatum</t>
  </si>
  <si>
    <t>Bedrijf_plaats</t>
  </si>
  <si>
    <t>Ongevallen_premie_WG</t>
  </si>
  <si>
    <t>OP_2_Ingangsdatum</t>
  </si>
  <si>
    <t>Wettelijke_verlofuren_beschikbaar</t>
  </si>
  <si>
    <t>OP_1_Wezenpensioen</t>
  </si>
  <si>
    <t>OP_1_NP_premie_WG</t>
  </si>
  <si>
    <t>DJ x opbouw %</t>
  </si>
  <si>
    <t>OP_2_Pensioengevend_Salaris</t>
  </si>
  <si>
    <t>Deelname_Levensloopregeling</t>
  </si>
  <si>
    <t>Relatie_einddatum</t>
  </si>
  <si>
    <t>OP_2_Franchise_NP</t>
  </si>
  <si>
    <t>OP_1_NP_premie_WN</t>
  </si>
  <si>
    <t>OP_2_OP_pensioen</t>
  </si>
  <si>
    <t>WGA_excedent_ingangsdatum</t>
  </si>
  <si>
    <t>output_uitkering_offensief</t>
  </si>
  <si>
    <t>gebdd</t>
  </si>
  <si>
    <t>Fax_werk</t>
  </si>
  <si>
    <t>Bijsparen_indicatie</t>
  </si>
  <si>
    <t>Geboortedatum</t>
  </si>
  <si>
    <t>Vestiging</t>
  </si>
  <si>
    <t>In te geven velden</t>
  </si>
  <si>
    <t>Deelname_Pensioenregeling_1</t>
  </si>
  <si>
    <t>Ongevallen_rubriek_B</t>
  </si>
  <si>
    <t>OP_3_Contractnummer</t>
  </si>
  <si>
    <t>Deelname_WIA_Bodem</t>
  </si>
  <si>
    <t>Offensief</t>
  </si>
  <si>
    <t>OP_2_Pensioenleeftijd</t>
  </si>
  <si>
    <t>ANW_wijzigingsdatum</t>
  </si>
  <si>
    <t>Aantal_kinderen</t>
  </si>
  <si>
    <t>WzP Premie werkgever</t>
  </si>
  <si>
    <t>Periodesalaris</t>
  </si>
  <si>
    <t>WGA_hiaat_premie_WN</t>
  </si>
  <si>
    <t>OP_2_Franchise</t>
  </si>
  <si>
    <t>OP_1_OP_Bruto_Rendement</t>
  </si>
  <si>
    <t>BP staffel INVULLEN</t>
  </si>
  <si>
    <t>WGA_hiaat_premie_WG_aanvulling</t>
  </si>
  <si>
    <t>OP_2_OP_kapitaal</t>
  </si>
  <si>
    <t>NP_Pensioengrondslag</t>
  </si>
  <si>
    <t>ANW_verzekeraar</t>
  </si>
  <si>
    <t>Bovenwettelijke_verlofuren_beschikbaar</t>
  </si>
  <si>
    <t>WGA_hiaat_premie_WN_aanvulling</t>
  </si>
  <si>
    <t>Werkuren_vrijdag</t>
  </si>
  <si>
    <t>Email_prive</t>
  </si>
  <si>
    <t>Land</t>
  </si>
  <si>
    <t>Samenwonend</t>
  </si>
  <si>
    <t>Peildatum (fix)</t>
  </si>
  <si>
    <t>Bijsparen_premie_WG</t>
  </si>
  <si>
    <t>OP_2_NP_jaarpremie</t>
  </si>
  <si>
    <t>OP_1_NP_kapitaal</t>
  </si>
  <si>
    <t>Defensief</t>
  </si>
  <si>
    <t>OP_3_NP_premie_WG</t>
  </si>
  <si>
    <t>ANW_ingangsdatum</t>
  </si>
  <si>
    <t>output_uitkering_defensief</t>
  </si>
  <si>
    <t>OP_3_NP_premie_WN</t>
  </si>
  <si>
    <t>Ongevallen_premie_WN</t>
  </si>
  <si>
    <t>Wezenpensioen</t>
  </si>
  <si>
    <t>Aanspraak NP % x PG</t>
  </si>
  <si>
    <t>OP_1_OP_kapitaal</t>
  </si>
  <si>
    <t>Nationaliteit</t>
  </si>
  <si>
    <t>Kapitaal</t>
  </si>
  <si>
    <t>OP_3_OP_jaarpremie</t>
  </si>
  <si>
    <t>Deelname_Ziektekosten</t>
  </si>
  <si>
    <t>WGA_hiaat_aanvulling</t>
  </si>
  <si>
    <t>OP_3_OP_pensioen</t>
  </si>
  <si>
    <t>WGA_hiaat_hiaat</t>
  </si>
  <si>
    <t>pensioengrondslag</t>
  </si>
  <si>
    <t>Parttime %</t>
  </si>
  <si>
    <t>NP_Pensioen</t>
  </si>
  <si>
    <t>Pensioen</t>
  </si>
  <si>
    <t>Deelname_WGA_Hiaat</t>
  </si>
  <si>
    <t>Geslacht</t>
  </si>
  <si>
    <t>PG</t>
  </si>
  <si>
    <t>NP Jaarpremie</t>
  </si>
  <si>
    <t>Bijsparen_bedrag_per_jaar</t>
  </si>
  <si>
    <t>ANW_premie_WG</t>
  </si>
  <si>
    <t>Wettelijke_verlofuren_opgenomen</t>
  </si>
  <si>
    <t>Personeelsnummer</t>
  </si>
  <si>
    <t>OP_1_NP_pensioen</t>
  </si>
  <si>
    <t>NP_Polisnummer</t>
  </si>
  <si>
    <t>pensioen kapitaal</t>
  </si>
  <si>
    <t>ANW_premie_WN</t>
  </si>
  <si>
    <t>WG deel</t>
  </si>
  <si>
    <t>WGA_hiaat_aanvulling_aanvulling</t>
  </si>
  <si>
    <t>Deelname_Bijsparenpensioen</t>
  </si>
  <si>
    <t>Ongevallen_wijzigingsdatum</t>
  </si>
  <si>
    <t>OP_2_Verzekeraar</t>
  </si>
  <si>
    <t>Werkuren_dinsdag</t>
  </si>
  <si>
    <t>OP_2_OP_Bruto_Rendement</t>
  </si>
  <si>
    <t>Werkuren_woensdag</t>
  </si>
  <si>
    <t>Afdeling</t>
  </si>
  <si>
    <t>WGA_hiaat_Wijzigingsdatum</t>
  </si>
  <si>
    <t>GSM</t>
  </si>
  <si>
    <t>NP_Verzekeraar</t>
  </si>
  <si>
    <t>WGA_hiaat_doorbetaling_jaar_1</t>
  </si>
  <si>
    <t>Gem._van_goederen</t>
  </si>
  <si>
    <t>Ongevallen_polisnummer</t>
  </si>
  <si>
    <t>WGA_hiaat_doorbetaling_jaar_2</t>
  </si>
  <si>
    <t>OP Premie werkgever</t>
  </si>
  <si>
    <t>OP_3_Wezenpensioen</t>
  </si>
  <si>
    <t>WGA_excedent_premie_WN</t>
  </si>
  <si>
    <t>WGA_hiaat_polisnummer</t>
  </si>
  <si>
    <t>OP_3_Franchise</t>
  </si>
  <si>
    <t>WGA_hiaat_aanvulling_aanvullingsperc</t>
  </si>
  <si>
    <t>Geslacht_partner</t>
  </si>
  <si>
    <t>Voorletters</t>
  </si>
  <si>
    <t>Neutraal</t>
  </si>
  <si>
    <t>Postcode</t>
  </si>
  <si>
    <t>NP_Pensioenleeftijd</t>
  </si>
  <si>
    <t>WGA_hiaat_aanvulling_verzekeraar</t>
  </si>
  <si>
    <t>output_np_indicatie</t>
  </si>
  <si>
    <t>Voornaam</t>
  </si>
  <si>
    <t>WGA_hiaat_verzekeraar</t>
  </si>
  <si>
    <t>NP_Ingangsdatum</t>
  </si>
  <si>
    <t>WGA_hiaat_aanvulling_wijzigingsdatum</t>
  </si>
  <si>
    <t>NP_WZP_premie_WN</t>
  </si>
  <si>
    <t>NP_Franchise</t>
  </si>
  <si>
    <t>WGA_hiaat_jaarpremie</t>
  </si>
  <si>
    <t>Ongevallen_jaarpremie</t>
  </si>
  <si>
    <t>Bovenwettelijke_verlofuren_aangevraagd</t>
  </si>
  <si>
    <t>Factor aankoop pensioenSamenwonend</t>
  </si>
  <si>
    <t>OP_1_OP_jaarpremie</t>
  </si>
  <si>
    <t>Functie</t>
  </si>
  <si>
    <t>Ongevallen_verzekeraar</t>
  </si>
  <si>
    <t>WGA_hiaat_eindleeftijd</t>
  </si>
  <si>
    <t>looptijd</t>
  </si>
  <si>
    <t>afgerond</t>
  </si>
  <si>
    <t>ANW_hiaat</t>
  </si>
  <si>
    <t>Fulltime_salaris</t>
  </si>
  <si>
    <t>Burgerlijkestaat</t>
  </si>
  <si>
    <t>Leeftijd afg. naar beneden</t>
  </si>
  <si>
    <t>Proeftijd</t>
  </si>
  <si>
    <t>Telefoon_prive</t>
  </si>
  <si>
    <t>OP_3_OP_kapitaal</t>
  </si>
  <si>
    <t>Deelname_Spaarloon</t>
  </si>
  <si>
    <t>NP_WZP_premie_WG</t>
  </si>
  <si>
    <t>Ongevallen_rubriek_A</t>
  </si>
  <si>
    <t>Deelname_Pensioenregeling_2</t>
  </si>
  <si>
    <t>OP_1_Verzekeraar</t>
  </si>
  <si>
    <t>Achternaam_partner</t>
  </si>
  <si>
    <t xml:space="preserve">output_kapitaal_neutraal </t>
  </si>
  <si>
    <t>WGA_excedent_wijzigingsdatum</t>
  </si>
  <si>
    <t>Bijsparen_wijzigingsdatum</t>
  </si>
  <si>
    <t>OP premie werknemer</t>
  </si>
  <si>
    <t>OP_2_NP_kapitaal</t>
  </si>
  <si>
    <t>WIA_percentage</t>
  </si>
  <si>
    <t>Bijsparen_ingangsdatum</t>
  </si>
  <si>
    <t>Huisnummer</t>
  </si>
  <si>
    <t>NP premie werknemer</t>
  </si>
  <si>
    <t>Bovenwettelijke_verlofuren</t>
  </si>
  <si>
    <t>Vrouw</t>
  </si>
  <si>
    <t>NP_Wezenpensioen</t>
  </si>
  <si>
    <t>WGA_hiaat_aanvulling_contractnummer</t>
  </si>
  <si>
    <t>Ongevallen_ingangsdatum</t>
  </si>
  <si>
    <t>Voorletters_partner</t>
  </si>
  <si>
    <t>Werkuren_per_week</t>
  </si>
  <si>
    <t>NP_Kapitaal</t>
  </si>
  <si>
    <t>Pensioengevend_Salaris</t>
  </si>
  <si>
    <t>Pensioenleeftijd</t>
  </si>
  <si>
    <t>Bedrijf_website</t>
  </si>
  <si>
    <t xml:space="preserve">output_kapitaal_offensief </t>
  </si>
  <si>
    <t>WGA_hiaat_aanvullingspercentage</t>
  </si>
  <si>
    <t xml:space="preserve">Pensioenkapitaal Defensief </t>
  </si>
  <si>
    <t>Voornaam_partner</t>
  </si>
  <si>
    <t>Ouderdomspensioen</t>
  </si>
  <si>
    <t>Alleenstaand</t>
  </si>
  <si>
    <t>partnerpensioen kapitaal</t>
  </si>
  <si>
    <t>OP_3_Verzekeraar</t>
  </si>
  <si>
    <t>WZP</t>
  </si>
  <si>
    <t>Franchise NP</t>
  </si>
  <si>
    <t>Man</t>
  </si>
  <si>
    <t>WGA_hiaat_aanvulling_dagloongrens</t>
  </si>
  <si>
    <t>NP_Pensioengevend_Salaris</t>
  </si>
  <si>
    <t>OP_2_Contractnummer</t>
  </si>
  <si>
    <t>OP_2_NP_pensioen</t>
  </si>
  <si>
    <t>d.i.d.</t>
  </si>
  <si>
    <t>Tussenvoegsel_partner</t>
  </si>
  <si>
    <t>Bijsparen_contractnr</t>
  </si>
  <si>
    <t>Bedrijf_telefoonnummer</t>
  </si>
  <si>
    <t>Bonus_voor_pensioen</t>
  </si>
  <si>
    <t>OP_3_NP_pensioen</t>
  </si>
  <si>
    <t>Deelname_Pensioenregeling_3</t>
  </si>
  <si>
    <t>Relatie_startdatum</t>
  </si>
  <si>
    <t>Burgerservicenummer</t>
  </si>
  <si>
    <t>Telefoon_werk</t>
  </si>
  <si>
    <t>Bonus_jaar</t>
  </si>
  <si>
    <t>Werknemertype</t>
  </si>
  <si>
    <t>Bedrijf_huisnummer</t>
  </si>
  <si>
    <t>Bedrijf_post_postcode</t>
  </si>
  <si>
    <t>OP_3_OP_Bruto_Rendement</t>
  </si>
  <si>
    <t>Pensioenkapitaal Neutraal</t>
  </si>
  <si>
    <t>OP_2_Pensioengrondslag</t>
  </si>
  <si>
    <t>OP_2_Wijzigingsdatum</t>
  </si>
  <si>
    <t>OP Jaarpremie</t>
  </si>
  <si>
    <t>OP_1_Contractnummer</t>
  </si>
  <si>
    <t>Burgerservicenummer_partner</t>
  </si>
  <si>
    <t>NP_premie_WN</t>
  </si>
  <si>
    <t>OP_1_Waardeoverdracht</t>
  </si>
  <si>
    <t>SALUR</t>
  </si>
  <si>
    <t>PREMIE</t>
  </si>
  <si>
    <t>PREMIES horizontaal</t>
  </si>
  <si>
    <t>Life cycles</t>
  </si>
  <si>
    <t>t/m</t>
  </si>
  <si>
    <t>Rendement</t>
  </si>
  <si>
    <t>Afgerond</t>
  </si>
  <si>
    <t>Actuelewaarde</t>
  </si>
</sst>
</file>

<file path=xl/styles.xml><?xml version="1.0" encoding="utf-8"?>
<styleSheet xmlns="http://schemas.openxmlformats.org/spreadsheetml/2006/main">
  <numFmts count="61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#0.000"/>
    <numFmt numFmtId="173" formatCode="#0.000000"/>
    <numFmt numFmtId="174" formatCode="#0"/>
    <numFmt numFmtId="175" formatCode="#0.00"/>
    <numFmt numFmtId="176" formatCode="0.\-;;"/>
    <numFmt numFmtId="177" formatCode="0.\-"/>
    <numFmt numFmtId="178" formatCode="#0.0000"/>
    <numFmt numFmtId="179" formatCode="#0.0"/>
    <numFmt numFmtId="180" formatCode="0.\-;\-0.\-;"/>
    <numFmt numFmtId="181" formatCode="dd\-mm\-yyyy"/>
    <numFmt numFmtId="182" formatCode="&quot;fl&quot;\ #,##0_-;&quot;fl&quot;\ #,##0\-"/>
    <numFmt numFmtId="183" formatCode="&quot;fl&quot;\ #,##0_-;[Red]&quot;fl&quot;\ #,##0\-"/>
    <numFmt numFmtId="184" formatCode="&quot;fl&quot;\ #,##0.00_-;&quot;fl&quot;\ #,##0.00\-"/>
    <numFmt numFmtId="185" formatCode="&quot;fl&quot;\ #,##0.00_-;[Red]&quot;fl&quot;\ #,##0.00\-"/>
    <numFmt numFmtId="186" formatCode="_-&quot;fl&quot;\ * #,##0_-;_-&quot;fl&quot;\ * #,##0\-;_-&quot;fl&quot;\ * &quot;-&quot;_-;_-@_-"/>
    <numFmt numFmtId="187" formatCode="_-&quot;fl&quot;\ * #,##0.00_-;_-&quot;fl&quot;\ * #,##0.00\-;_-&quot;fl&quot;\ * &quot;-&quot;??_-;_-@_-"/>
    <numFmt numFmtId="188" formatCode=";;;"/>
    <numFmt numFmtId="189" formatCode="dd\-mm\-yy"/>
    <numFmt numFmtId="190" formatCode="0.000000"/>
    <numFmt numFmtId="191" formatCode="[$-413]dddd\ d\ mmmm\ yyyy"/>
    <numFmt numFmtId="192" formatCode="dd/mm/yy;@"/>
    <numFmt numFmtId="193" formatCode="&quot;Ja&quot;;&quot;Ja&quot;;&quot;Nee&quot;"/>
    <numFmt numFmtId="194" formatCode="&quot;Waar&quot;;&quot;Waar&quot;;&quot;Niet waar&quot;"/>
    <numFmt numFmtId="195" formatCode="&quot;Aan&quot;;&quot;Aan&quot;;&quot;Uit&quot;"/>
    <numFmt numFmtId="196" formatCode="[$€-2]\ #.##000_);[Red]\([$€-2]\ #.##000\)"/>
    <numFmt numFmtId="197" formatCode="mmm/yyyy"/>
    <numFmt numFmtId="198" formatCode="0_ ;\-0\ "/>
    <numFmt numFmtId="199" formatCode="0.00000%"/>
    <numFmt numFmtId="200" formatCode="0.000%"/>
    <numFmt numFmtId="201" formatCode="&quot;Waar&quot;;&quot;Waar&quot;;&quot;Onwaar&quot;"/>
    <numFmt numFmtId="202" formatCode="0.000"/>
    <numFmt numFmtId="203" formatCode="0.0"/>
    <numFmt numFmtId="204" formatCode="0.0%"/>
    <numFmt numFmtId="205" formatCode="0.00000"/>
    <numFmt numFmtId="206" formatCode="#\ ??/12"/>
    <numFmt numFmtId="207" formatCode="_-[$€-2]\ * #,##0.00_-;_-[$€-2]\ * #,##0.00\-;_-[$€-2]\ * &quot;-&quot;??_-"/>
    <numFmt numFmtId="208" formatCode="#,##0.00000000000"/>
    <numFmt numFmtId="209" formatCode="&quot;€&quot;\ #,##0.00;\-&quot;€&quot;\ #,##0.00"/>
    <numFmt numFmtId="210" formatCode="0.0##\ %;\-\ 0.0##\ %"/>
    <numFmt numFmtId="211" formatCode="0.00000000000000000"/>
    <numFmt numFmtId="212" formatCode="0.0000000000000000"/>
    <numFmt numFmtId="213" formatCode="0.000000000000000"/>
    <numFmt numFmtId="214" formatCode="0.00000000000000"/>
    <numFmt numFmtId="215" formatCode="0.0000000000000"/>
    <numFmt numFmtId="216" formatCode="0.0000"/>
  </numFmts>
  <fonts count="74">
    <font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9"/>
      <name val="Arial"/>
      <family val="2"/>
    </font>
    <font>
      <sz val="11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sz val="12"/>
      <name val="Helv"/>
      <family val="0"/>
    </font>
    <font>
      <sz val="10"/>
      <color indexed="52"/>
      <name val="Calibri"/>
      <family val="2"/>
    </font>
    <font>
      <sz val="10"/>
      <color indexed="17"/>
      <name val="Calibri"/>
      <family val="2"/>
    </font>
    <font>
      <sz val="10"/>
      <color indexed="62"/>
      <name val="Calibri"/>
      <family val="2"/>
    </font>
    <font>
      <b/>
      <sz val="14"/>
      <name val="Helv"/>
      <family val="0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sz val="10"/>
      <name val="Courier"/>
      <family val="3"/>
    </font>
    <font>
      <sz val="10"/>
      <name val="MS Sans Serif"/>
      <family val="2"/>
    </font>
    <font>
      <sz val="12"/>
      <name val="NN-Mono"/>
      <family val="3"/>
    </font>
    <font>
      <sz val="24"/>
      <color indexed="13"/>
      <name val="Helv"/>
      <family val="0"/>
    </font>
    <font>
      <b/>
      <sz val="10"/>
      <color indexed="8"/>
      <name val="Calibri"/>
      <family val="2"/>
    </font>
    <font>
      <b/>
      <sz val="10"/>
      <color indexed="63"/>
      <name val="Calibri"/>
      <family val="2"/>
    </font>
    <font>
      <i/>
      <sz val="10"/>
      <color indexed="23"/>
      <name val="Calibri"/>
      <family val="2"/>
    </font>
    <font>
      <sz val="10"/>
      <color indexed="10"/>
      <name val="Calibri"/>
      <family val="2"/>
    </font>
    <font>
      <sz val="8"/>
      <name val="Arial"/>
      <family val="2"/>
    </font>
    <font>
      <u val="single"/>
      <sz val="11"/>
      <color indexed="12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mbria"/>
      <family val="2"/>
    </font>
    <font>
      <b/>
      <sz val="10"/>
      <color indexed="17"/>
      <name val="Arial"/>
      <family val="2"/>
    </font>
    <font>
      <sz val="10"/>
      <color indexed="27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51"/>
      <name val="Arial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00B050"/>
      <name val="Arial"/>
      <family val="2"/>
    </font>
    <font>
      <sz val="10"/>
      <color theme="8" tint="0.7999799847602844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0"/>
      <color rgb="FFFFC000"/>
      <name val="Arial"/>
      <family val="2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/>
      <right style="double"/>
      <top style="double"/>
      <bottom style="double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</borders>
  <cellStyleXfs count="3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2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2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2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2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2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2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2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2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2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9" borderId="0" applyNumberFormat="0" applyBorder="0" applyAlignment="0" applyProtection="0"/>
    <xf numFmtId="0" fontId="2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21" borderId="0" applyNumberFormat="0" applyBorder="0" applyAlignment="0" applyProtection="0"/>
    <xf numFmtId="0" fontId="4" fillId="15" borderId="0" applyNumberFormat="0" applyBorder="0" applyAlignment="0" applyProtection="0"/>
    <xf numFmtId="0" fontId="2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24" fillId="23" borderId="0" applyNumberFormat="0" applyBorder="0" applyAlignment="0" applyProtection="0"/>
    <xf numFmtId="0" fontId="4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2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17" borderId="0" applyNumberFormat="0" applyBorder="0" applyAlignment="0" applyProtection="0"/>
    <xf numFmtId="0" fontId="2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7" borderId="0" applyNumberFormat="0" applyBorder="0" applyAlignment="0" applyProtection="0"/>
    <xf numFmtId="0" fontId="5" fillId="19" borderId="0" applyNumberFormat="0" applyBorder="0" applyAlignment="0" applyProtection="0"/>
    <xf numFmtId="0" fontId="2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2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2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2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2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2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2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29" borderId="0" applyNumberFormat="0" applyBorder="0" applyAlignment="0" applyProtection="0"/>
    <xf numFmtId="0" fontId="2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41" borderId="0" applyNumberFormat="0" applyBorder="0" applyAlignment="0" applyProtection="0"/>
    <xf numFmtId="0" fontId="5" fillId="31" borderId="0" applyNumberFormat="0" applyBorder="0" applyAlignment="0" applyProtection="0"/>
    <xf numFmtId="0" fontId="2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25" fillId="43" borderId="0" applyNumberFormat="0" applyBorder="0" applyAlignment="0" applyProtection="0"/>
    <xf numFmtId="0" fontId="5" fillId="43" borderId="0" applyNumberFormat="0" applyBorder="0" applyAlignment="0" applyProtection="0"/>
    <xf numFmtId="0" fontId="56" fillId="44" borderId="1" applyNumberFormat="0" applyAlignment="0" applyProtection="0"/>
    <xf numFmtId="0" fontId="10" fillId="45" borderId="2" applyNumberFormat="0" applyAlignment="0" applyProtection="0"/>
    <xf numFmtId="0" fontId="26" fillId="45" borderId="2" applyNumberFormat="0" applyAlignment="0" applyProtection="0"/>
    <xf numFmtId="0" fontId="6" fillId="46" borderId="3" applyNumberFormat="0" applyAlignment="0" applyProtection="0"/>
    <xf numFmtId="0" fontId="6" fillId="47" borderId="4" applyNumberFormat="0" applyAlignment="0" applyProtection="0"/>
    <xf numFmtId="0" fontId="27" fillId="47" borderId="4" applyNumberFormat="0" applyAlignment="0" applyProtection="0"/>
    <xf numFmtId="0" fontId="6" fillId="47" borderId="4" applyNumberFormat="0" applyAlignment="0" applyProtection="0"/>
    <xf numFmtId="0" fontId="28" fillId="0" borderId="0">
      <alignment/>
      <protection/>
    </xf>
    <xf numFmtId="0" fontId="28" fillId="0" borderId="5">
      <alignment/>
      <protection/>
    </xf>
    <xf numFmtId="207" fontId="0" fillId="0" borderId="0" applyFont="0" applyFill="0" applyBorder="0" applyAlignment="0" applyProtection="0"/>
    <xf numFmtId="0" fontId="57" fillId="0" borderId="6" applyNumberFormat="0" applyFill="0" applyAlignment="0" applyProtection="0"/>
    <xf numFmtId="0" fontId="11" fillId="0" borderId="7" applyNumberFormat="0" applyFill="0" applyAlignment="0" applyProtection="0"/>
    <xf numFmtId="0" fontId="29" fillId="0" borderId="7" applyNumberFormat="0" applyFill="0" applyAlignment="0" applyProtection="0"/>
    <xf numFmtId="0" fontId="1" fillId="0" borderId="0" applyNumberFormat="0" applyFill="0" applyBorder="0" applyAlignment="0" applyProtection="0"/>
    <xf numFmtId="0" fontId="58" fillId="48" borderId="0" applyNumberFormat="0" applyBorder="0" applyAlignment="0" applyProtection="0"/>
    <xf numFmtId="0" fontId="12" fillId="7" borderId="0" applyNumberFormat="0" applyBorder="0" applyAlignment="0" applyProtection="0"/>
    <xf numFmtId="0" fontId="30" fillId="7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9" fillId="13" borderId="1" applyNumberFormat="0" applyAlignment="0" applyProtection="0"/>
    <xf numFmtId="0" fontId="13" fillId="13" borderId="2" applyNumberFormat="0" applyAlignment="0" applyProtection="0"/>
    <xf numFmtId="0" fontId="31" fillId="13" borderId="2" applyNumberFormat="0" applyAlignment="0" applyProtection="0"/>
    <xf numFmtId="0" fontId="13" fillId="13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60" fillId="0" borderId="8" applyNumberFormat="0" applyFill="0" applyAlignment="0" applyProtection="0"/>
    <xf numFmtId="0" fontId="14" fillId="0" borderId="9" applyNumberFormat="0" applyFill="0" applyAlignment="0" applyProtection="0"/>
    <xf numFmtId="0" fontId="61" fillId="0" borderId="8" applyNumberFormat="0" applyFill="0" applyAlignment="0" applyProtection="0"/>
    <xf numFmtId="0" fontId="15" fillId="0" borderId="10" applyNumberFormat="0" applyFill="0" applyAlignment="0" applyProtection="0"/>
    <xf numFmtId="0" fontId="62" fillId="0" borderId="11" applyNumberFormat="0" applyFill="0" applyAlignment="0" applyProtection="0"/>
    <xf numFmtId="0" fontId="16" fillId="0" borderId="12" applyNumberFormat="0" applyFill="0" applyAlignment="0" applyProtection="0"/>
    <xf numFmtId="0" fontId="6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2" fillId="49" borderId="5">
      <alignment/>
      <protection/>
    </xf>
    <xf numFmtId="0" fontId="63" fillId="50" borderId="0" applyNumberFormat="0" applyBorder="0" applyAlignment="0" applyProtection="0"/>
    <xf numFmtId="0" fontId="17" fillId="51" borderId="0" applyNumberFormat="0" applyBorder="0" applyAlignment="0" applyProtection="0"/>
    <xf numFmtId="0" fontId="33" fillId="51" borderId="0" applyNumberFormat="0" applyBorder="0" applyAlignment="0" applyProtection="0"/>
    <xf numFmtId="0" fontId="0" fillId="52" borderId="1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4" fillId="52" borderId="1" applyNumberFormat="0" applyFont="0" applyAlignment="0" applyProtection="0"/>
    <xf numFmtId="0" fontId="64" fillId="53" borderId="0" applyNumberFormat="0" applyBorder="0" applyAlignment="0" applyProtection="0"/>
    <xf numFmtId="0" fontId="18" fillId="5" borderId="0" applyNumberFormat="0" applyBorder="0" applyAlignment="0" applyProtection="0"/>
    <xf numFmtId="0" fontId="34" fillId="5" borderId="0" applyNumberFormat="0" applyBorder="0" applyAlignment="0" applyProtection="0"/>
    <xf numFmtId="0" fontId="18" fillId="5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8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5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4" fillId="0" borderId="0">
      <alignment/>
      <protection/>
    </xf>
    <xf numFmtId="0" fontId="3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7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4" fillId="0" borderId="0">
      <alignment/>
      <protection/>
    </xf>
    <xf numFmtId="0" fontId="3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8" fillId="0" borderId="5">
      <alignment/>
      <protection/>
    </xf>
    <xf numFmtId="0" fontId="6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8" fillId="54" borderId="0">
      <alignment/>
      <protection/>
    </xf>
    <xf numFmtId="0" fontId="7" fillId="0" borderId="14" applyNumberFormat="0" applyFill="0" applyAlignment="0" applyProtection="0"/>
    <xf numFmtId="0" fontId="7" fillId="0" borderId="15" applyNumberFormat="0" applyFill="0" applyAlignment="0" applyProtection="0"/>
    <xf numFmtId="0" fontId="39" fillId="0" borderId="15" applyNumberFormat="0" applyFill="0" applyAlignment="0" applyProtection="0"/>
    <xf numFmtId="0" fontId="32" fillId="0" borderId="16">
      <alignment/>
      <protection/>
    </xf>
    <xf numFmtId="0" fontId="32" fillId="0" borderId="5">
      <alignment/>
      <protection/>
    </xf>
    <xf numFmtId="0" fontId="66" fillId="44" borderId="1" applyNumberFormat="0" applyAlignment="0" applyProtection="0"/>
    <xf numFmtId="0" fontId="20" fillId="45" borderId="17" applyNumberFormat="0" applyAlignment="0" applyProtection="0"/>
    <xf numFmtId="0" fontId="40" fillId="45" borderId="17" applyNumberFormat="0" applyAlignment="0" applyProtection="0"/>
    <xf numFmtId="0" fontId="20" fillId="45" borderId="17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16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NumberForma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9" fillId="0" borderId="0" xfId="0" applyFont="1" applyAlignment="1">
      <alignment vertical="center"/>
    </xf>
    <xf numFmtId="0" fontId="0" fillId="49" borderId="0" xfId="0" applyFill="1" applyAlignment="1">
      <alignment/>
    </xf>
    <xf numFmtId="0" fontId="0" fillId="18" borderId="0" xfId="0" applyFill="1" applyAlignment="1">
      <alignment/>
    </xf>
    <xf numFmtId="0" fontId="0" fillId="0" borderId="0" xfId="0" applyFill="1" applyAlignment="1">
      <alignment/>
    </xf>
    <xf numFmtId="4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0" fontId="0" fillId="49" borderId="18" xfId="0" applyFill="1" applyBorder="1" applyAlignment="1">
      <alignment/>
    </xf>
    <xf numFmtId="0" fontId="3" fillId="0" borderId="0" xfId="0" applyFont="1" applyBorder="1" applyAlignment="1">
      <alignment horizontal="center"/>
    </xf>
    <xf numFmtId="4" fontId="0" fillId="0" borderId="0" xfId="0" applyNumberFormat="1" applyAlignment="1">
      <alignment horizontal="right"/>
    </xf>
    <xf numFmtId="4" fontId="0" fillId="0" borderId="0" xfId="0" applyNumberFormat="1" applyAlignment="1">
      <alignment horizontal="center"/>
    </xf>
    <xf numFmtId="1" fontId="0" fillId="0" borderId="0" xfId="0" applyNumberFormat="1" applyAlignment="1">
      <alignment/>
    </xf>
    <xf numFmtId="2" fontId="0" fillId="0" borderId="0" xfId="0" applyNumberFormat="1" applyAlignment="1">
      <alignment horizontal="right"/>
    </xf>
    <xf numFmtId="10" fontId="0" fillId="0" borderId="0" xfId="0" applyNumberFormat="1" applyAlignment="1">
      <alignment/>
    </xf>
    <xf numFmtId="4" fontId="0" fillId="0" borderId="0" xfId="0" applyNumberFormat="1" applyBorder="1" applyAlignment="1">
      <alignment/>
    </xf>
    <xf numFmtId="4" fontId="0" fillId="0" borderId="19" xfId="0" applyNumberFormat="1" applyBorder="1" applyAlignment="1">
      <alignment/>
    </xf>
    <xf numFmtId="4" fontId="0" fillId="0" borderId="0" xfId="0" applyNumberFormat="1" applyFill="1" applyAlignment="1">
      <alignment/>
    </xf>
    <xf numFmtId="0" fontId="0" fillId="0" borderId="1" xfId="0" applyFill="1" applyBorder="1" applyAlignment="1">
      <alignment horizontal="center"/>
    </xf>
    <xf numFmtId="0" fontId="0" fillId="55" borderId="1" xfId="0" applyFill="1" applyBorder="1" applyAlignment="1">
      <alignment horizontal="center"/>
    </xf>
    <xf numFmtId="0" fontId="0" fillId="56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10" borderId="1" xfId="0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3" fillId="57" borderId="20" xfId="0" applyFont="1" applyFill="1" applyBorder="1" applyAlignment="1">
      <alignment/>
    </xf>
    <xf numFmtId="0" fontId="3" fillId="58" borderId="20" xfId="0" applyFont="1" applyFill="1" applyBorder="1" applyAlignment="1">
      <alignment/>
    </xf>
    <xf numFmtId="4" fontId="3" fillId="0" borderId="21" xfId="0" applyNumberFormat="1" applyFont="1" applyBorder="1" applyAlignment="1">
      <alignment/>
    </xf>
    <xf numFmtId="0" fontId="0" fillId="0" borderId="0" xfId="0" applyFill="1" applyBorder="1" applyAlignment="1">
      <alignment/>
    </xf>
    <xf numFmtId="10" fontId="0" fillId="56" borderId="1" xfId="0" applyNumberFormat="1" applyFill="1" applyBorder="1" applyAlignment="1">
      <alignment/>
    </xf>
    <xf numFmtId="10" fontId="0" fillId="6" borderId="1" xfId="0" applyNumberFormat="1" applyFill="1" applyBorder="1" applyAlignment="1">
      <alignment/>
    </xf>
    <xf numFmtId="10" fontId="0" fillId="10" borderId="1" xfId="0" applyNumberFormat="1" applyFill="1" applyBorder="1" applyAlignment="1">
      <alignment/>
    </xf>
    <xf numFmtId="10" fontId="0" fillId="55" borderId="1" xfId="0" applyNumberFormat="1" applyFill="1" applyBorder="1" applyAlignment="1">
      <alignment/>
    </xf>
    <xf numFmtId="10" fontId="0" fillId="2" borderId="1" xfId="0" applyNumberFormat="1" applyFont="1" applyFill="1" applyBorder="1" applyAlignment="1">
      <alignment/>
    </xf>
    <xf numFmtId="0" fontId="0" fillId="0" borderId="1" xfId="0" applyBorder="1" applyAlignment="1">
      <alignment/>
    </xf>
    <xf numFmtId="2" fontId="3" fillId="0" borderId="0" xfId="0" applyNumberFormat="1" applyFont="1" applyAlignment="1">
      <alignment horizontal="right"/>
    </xf>
    <xf numFmtId="0" fontId="23" fillId="57" borderId="0" xfId="0" applyFont="1" applyFill="1" applyAlignment="1">
      <alignment horizontal="center"/>
    </xf>
    <xf numFmtId="0" fontId="23" fillId="58" borderId="0" xfId="0" applyFont="1" applyFill="1" applyAlignment="1">
      <alignment horizontal="center"/>
    </xf>
    <xf numFmtId="0" fontId="5" fillId="37" borderId="0" xfId="0" applyFont="1" applyFill="1" applyAlignment="1">
      <alignment horizontal="center"/>
    </xf>
    <xf numFmtId="4" fontId="3" fillId="0" borderId="0" xfId="0" applyNumberFormat="1" applyFont="1" applyBorder="1" applyAlignment="1">
      <alignment/>
    </xf>
    <xf numFmtId="0" fontId="43" fillId="0" borderId="22" xfId="0" applyFont="1" applyBorder="1" applyAlignment="1">
      <alignment horizontal="center"/>
    </xf>
    <xf numFmtId="0" fontId="43" fillId="0" borderId="23" xfId="0" applyFont="1" applyBorder="1" applyAlignment="1">
      <alignment horizontal="center"/>
    </xf>
    <xf numFmtId="2" fontId="3" fillId="57" borderId="18" xfId="0" applyNumberFormat="1" applyFont="1" applyFill="1" applyBorder="1" applyAlignment="1">
      <alignment/>
    </xf>
    <xf numFmtId="0" fontId="0" fillId="0" borderId="0" xfId="0" applyNumberFormat="1" applyFill="1" applyBorder="1" applyAlignment="1">
      <alignment/>
    </xf>
    <xf numFmtId="0" fontId="3" fillId="2" borderId="18" xfId="0" applyFont="1" applyFill="1" applyBorder="1" applyAlignment="1">
      <alignment/>
    </xf>
    <xf numFmtId="205" fontId="0" fillId="0" borderId="0" xfId="0" applyNumberFormat="1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0" fillId="49" borderId="24" xfId="0" applyFill="1" applyBorder="1" applyAlignment="1">
      <alignment/>
    </xf>
    <xf numFmtId="14" fontId="0" fillId="49" borderId="25" xfId="0" applyNumberFormat="1" applyFill="1" applyBorder="1" applyAlignment="1">
      <alignment/>
    </xf>
    <xf numFmtId="0" fontId="3" fillId="57" borderId="24" xfId="0" applyFont="1" applyFill="1" applyBorder="1" applyAlignment="1">
      <alignment/>
    </xf>
    <xf numFmtId="14" fontId="3" fillId="57" borderId="25" xfId="0" applyNumberFormat="1" applyFont="1" applyFill="1" applyBorder="1" applyAlignment="1">
      <alignment/>
    </xf>
    <xf numFmtId="0" fontId="3" fillId="59" borderId="24" xfId="0" applyFont="1" applyFill="1" applyBorder="1" applyAlignment="1">
      <alignment horizontal="center"/>
    </xf>
    <xf numFmtId="0" fontId="0" fillId="59" borderId="26" xfId="0" applyFill="1" applyBorder="1" applyAlignment="1">
      <alignment/>
    </xf>
    <xf numFmtId="0" fontId="0" fillId="59" borderId="25" xfId="0" applyFill="1" applyBorder="1" applyAlignment="1">
      <alignment/>
    </xf>
    <xf numFmtId="3" fontId="68" fillId="0" borderId="0" xfId="0" applyNumberFormat="1" applyFont="1" applyAlignment="1">
      <alignment/>
    </xf>
    <xf numFmtId="2" fontId="0" fillId="0" borderId="20" xfId="0" applyNumberFormat="1" applyBorder="1" applyAlignment="1">
      <alignment/>
    </xf>
    <xf numFmtId="2" fontId="0" fillId="0" borderId="27" xfId="0" applyNumberFormat="1" applyBorder="1" applyAlignment="1">
      <alignment/>
    </xf>
    <xf numFmtId="2" fontId="0" fillId="0" borderId="21" xfId="0" applyNumberFormat="1" applyBorder="1" applyAlignment="1">
      <alignment/>
    </xf>
    <xf numFmtId="2" fontId="3" fillId="0" borderId="0" xfId="0" applyNumberFormat="1" applyFont="1" applyAlignment="1">
      <alignment horizontal="center"/>
    </xf>
    <xf numFmtId="0" fontId="3" fillId="49" borderId="0" xfId="0" applyFont="1" applyFill="1" applyBorder="1" applyAlignment="1">
      <alignment horizontal="center"/>
    </xf>
    <xf numFmtId="0" fontId="69" fillId="0" borderId="0" xfId="0" applyFont="1" applyAlignment="1">
      <alignment/>
    </xf>
    <xf numFmtId="0" fontId="69" fillId="2" borderId="0" xfId="0" applyFont="1" applyFill="1" applyAlignment="1">
      <alignment/>
    </xf>
    <xf numFmtId="0" fontId="69" fillId="6" borderId="0" xfId="0" applyFont="1" applyFill="1" applyAlignment="1">
      <alignment/>
    </xf>
    <xf numFmtId="0" fontId="69" fillId="10" borderId="0" xfId="0" applyFont="1" applyFill="1" applyAlignment="1">
      <alignment/>
    </xf>
    <xf numFmtId="0" fontId="69" fillId="55" borderId="0" xfId="0" applyFont="1" applyFill="1" applyAlignment="1">
      <alignment/>
    </xf>
    <xf numFmtId="0" fontId="3" fillId="49" borderId="18" xfId="0" applyFont="1" applyFill="1" applyBorder="1" applyAlignment="1">
      <alignment/>
    </xf>
    <xf numFmtId="0" fontId="0" fillId="0" borderId="28" xfId="0" applyBorder="1" applyAlignment="1">
      <alignment/>
    </xf>
    <xf numFmtId="4" fontId="0" fillId="0" borderId="28" xfId="0" applyNumberFormat="1" applyBorder="1" applyAlignment="1">
      <alignment/>
    </xf>
    <xf numFmtId="4" fontId="0" fillId="0" borderId="28" xfId="0" applyNumberFormat="1" applyBorder="1" applyAlignment="1">
      <alignment horizontal="right"/>
    </xf>
    <xf numFmtId="2" fontId="0" fillId="0" borderId="28" xfId="0" applyNumberFormat="1" applyBorder="1" applyAlignment="1">
      <alignment horizontal="right"/>
    </xf>
    <xf numFmtId="0" fontId="45" fillId="0" borderId="0" xfId="0" applyFont="1" applyFill="1" applyAlignment="1">
      <alignment/>
    </xf>
    <xf numFmtId="0" fontId="0" fillId="0" borderId="29" xfId="0" applyFill="1" applyBorder="1" applyAlignment="1">
      <alignment/>
    </xf>
    <xf numFmtId="0" fontId="0" fillId="0" borderId="30" xfId="0" applyFill="1" applyBorder="1" applyAlignment="1">
      <alignment/>
    </xf>
    <xf numFmtId="4" fontId="3" fillId="20" borderId="21" xfId="0" applyNumberFormat="1" applyFont="1" applyFill="1" applyBorder="1" applyAlignment="1">
      <alignment/>
    </xf>
    <xf numFmtId="4" fontId="3" fillId="20" borderId="0" xfId="0" applyNumberFormat="1" applyFont="1" applyFill="1" applyBorder="1" applyAlignment="1">
      <alignment/>
    </xf>
    <xf numFmtId="0" fontId="0" fillId="20" borderId="0" xfId="0" applyFill="1" applyAlignment="1">
      <alignment/>
    </xf>
    <xf numFmtId="0" fontId="0" fillId="0" borderId="0" xfId="0" applyAlignment="1">
      <alignment horizontal="right"/>
    </xf>
    <xf numFmtId="4" fontId="68" fillId="12" borderId="0" xfId="0" applyNumberFormat="1" applyFont="1" applyFill="1" applyAlignment="1">
      <alignment horizontal="right"/>
    </xf>
    <xf numFmtId="1" fontId="3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 horizontal="right"/>
    </xf>
    <xf numFmtId="2" fontId="0" fillId="0" borderId="0" xfId="0" applyNumberFormat="1" applyFont="1" applyFill="1" applyAlignment="1">
      <alignment horizontal="right"/>
    </xf>
    <xf numFmtId="0" fontId="22" fillId="0" borderId="0" xfId="0" applyFont="1" applyAlignment="1">
      <alignment horizontal="center"/>
    </xf>
    <xf numFmtId="0" fontId="69" fillId="0" borderId="0" xfId="0" applyFont="1" applyFill="1" applyAlignment="1">
      <alignment/>
    </xf>
    <xf numFmtId="0" fontId="3" fillId="0" borderId="1" xfId="0" applyFont="1" applyFill="1" applyBorder="1" applyAlignment="1">
      <alignment/>
    </xf>
    <xf numFmtId="0" fontId="0" fillId="0" borderId="1" xfId="0" applyFill="1" applyBorder="1" applyAlignment="1">
      <alignment/>
    </xf>
    <xf numFmtId="10" fontId="0" fillId="49" borderId="1" xfId="0" applyNumberFormat="1" applyFill="1" applyBorder="1" applyAlignment="1">
      <alignment/>
    </xf>
    <xf numFmtId="4" fontId="0" fillId="60" borderId="0" xfId="0" applyNumberFormat="1" applyFont="1" applyFill="1" applyAlignment="1">
      <alignment horizontal="right"/>
    </xf>
    <xf numFmtId="0" fontId="0" fillId="2" borderId="1" xfId="0" applyFill="1" applyBorder="1" applyAlignment="1">
      <alignment horizontal="center"/>
    </xf>
    <xf numFmtId="10" fontId="0" fillId="2" borderId="1" xfId="0" applyNumberFormat="1" applyFill="1" applyBorder="1" applyAlignment="1">
      <alignment/>
    </xf>
    <xf numFmtId="1" fontId="0" fillId="0" borderId="0" xfId="0" applyNumberFormat="1" applyFont="1" applyFill="1" applyAlignment="1">
      <alignment horizontal="center"/>
    </xf>
    <xf numFmtId="0" fontId="0" fillId="58" borderId="0" xfId="0" applyFill="1" applyAlignment="1">
      <alignment/>
    </xf>
    <xf numFmtId="2" fontId="0" fillId="32" borderId="27" xfId="0" applyNumberFormat="1" applyFill="1" applyBorder="1" applyAlignment="1">
      <alignment/>
    </xf>
    <xf numFmtId="2" fontId="0" fillId="32" borderId="21" xfId="0" applyNumberFormat="1" applyFill="1" applyBorder="1" applyAlignment="1">
      <alignment/>
    </xf>
    <xf numFmtId="9" fontId="68" fillId="0" borderId="0" xfId="0" applyNumberFormat="1" applyFont="1" applyAlignment="1">
      <alignment/>
    </xf>
    <xf numFmtId="1" fontId="0" fillId="57" borderId="31" xfId="0" applyNumberForma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2" fontId="0" fillId="58" borderId="1" xfId="0" applyNumberFormat="1" applyFill="1" applyBorder="1" applyAlignment="1">
      <alignment/>
    </xf>
    <xf numFmtId="4" fontId="0" fillId="61" borderId="0" xfId="0" applyNumberFormat="1" applyFont="1" applyFill="1" applyAlignment="1">
      <alignment horizontal="right"/>
    </xf>
    <xf numFmtId="2" fontId="0" fillId="57" borderId="0" xfId="0" applyNumberFormat="1" applyFill="1" applyBorder="1" applyAlignment="1">
      <alignment/>
    </xf>
    <xf numFmtId="2" fontId="0" fillId="58" borderId="0" xfId="0" applyNumberFormat="1" applyFill="1" applyBorder="1" applyAlignment="1">
      <alignment/>
    </xf>
    <xf numFmtId="0" fontId="45" fillId="57" borderId="0" xfId="0" applyFont="1" applyFill="1" applyAlignment="1">
      <alignment horizontal="center"/>
    </xf>
    <xf numFmtId="0" fontId="45" fillId="58" borderId="0" xfId="0" applyFont="1" applyFill="1" applyAlignment="1">
      <alignment horizontal="center"/>
    </xf>
    <xf numFmtId="0" fontId="70" fillId="62" borderId="0" xfId="0" applyFont="1" applyFill="1" applyAlignment="1">
      <alignment horizontal="center"/>
    </xf>
    <xf numFmtId="2" fontId="0" fillId="62" borderId="0" xfId="0" applyNumberFormat="1" applyFill="1" applyAlignment="1">
      <alignment/>
    </xf>
    <xf numFmtId="2" fontId="0" fillId="58" borderId="32" xfId="0" applyNumberFormat="1" applyFill="1" applyBorder="1" applyAlignment="1">
      <alignment/>
    </xf>
    <xf numFmtId="216" fontId="0" fillId="58" borderId="32" xfId="0" applyNumberFormat="1" applyFill="1" applyBorder="1" applyAlignment="1">
      <alignment/>
    </xf>
    <xf numFmtId="216" fontId="0" fillId="57" borderId="1" xfId="0" applyNumberFormat="1" applyFill="1" applyBorder="1" applyAlignment="1">
      <alignment/>
    </xf>
    <xf numFmtId="0" fontId="0" fillId="57" borderId="1" xfId="0" applyNumberFormat="1" applyFill="1" applyBorder="1" applyAlignment="1">
      <alignment/>
    </xf>
    <xf numFmtId="202" fontId="3" fillId="57" borderId="33" xfId="0" applyNumberFormat="1" applyFont="1" applyFill="1" applyBorder="1" applyAlignment="1">
      <alignment/>
    </xf>
    <xf numFmtId="202" fontId="3" fillId="57" borderId="34" xfId="0" applyNumberFormat="1" applyFont="1" applyFill="1" applyBorder="1" applyAlignment="1">
      <alignment/>
    </xf>
    <xf numFmtId="216" fontId="3" fillId="57" borderId="34" xfId="0" applyNumberFormat="1" applyFont="1" applyFill="1" applyBorder="1" applyAlignment="1">
      <alignment/>
    </xf>
    <xf numFmtId="2" fontId="3" fillId="58" borderId="35" xfId="0" applyNumberFormat="1" applyFont="1" applyFill="1" applyBorder="1" applyAlignment="1">
      <alignment/>
    </xf>
    <xf numFmtId="2" fontId="3" fillId="58" borderId="1" xfId="0" applyNumberFormat="1" applyFont="1" applyFill="1" applyBorder="1" applyAlignment="1">
      <alignment/>
    </xf>
    <xf numFmtId="216" fontId="0" fillId="57" borderId="0" xfId="0" applyNumberFormat="1" applyFont="1" applyFill="1" applyAlignment="1">
      <alignment/>
    </xf>
    <xf numFmtId="2" fontId="0" fillId="57" borderId="0" xfId="0" applyNumberFormat="1" applyFont="1" applyFill="1" applyAlignment="1">
      <alignment/>
    </xf>
    <xf numFmtId="216" fontId="0" fillId="58" borderId="1" xfId="0" applyNumberFormat="1" applyFill="1" applyBorder="1" applyAlignment="1">
      <alignment/>
    </xf>
    <xf numFmtId="0" fontId="0" fillId="58" borderId="1" xfId="0" applyNumberFormat="1" applyFill="1" applyBorder="1" applyAlignment="1">
      <alignment/>
    </xf>
    <xf numFmtId="4" fontId="68" fillId="12" borderId="20" xfId="0" applyNumberFormat="1" applyFont="1" applyFill="1" applyBorder="1" applyAlignment="1">
      <alignment horizontal="right"/>
    </xf>
    <xf numFmtId="4" fontId="68" fillId="12" borderId="27" xfId="0" applyNumberFormat="1" applyFont="1" applyFill="1" applyBorder="1" applyAlignment="1">
      <alignment horizontal="right"/>
    </xf>
    <xf numFmtId="4" fontId="71" fillId="58" borderId="20" xfId="0" applyNumberFormat="1" applyFont="1" applyFill="1" applyBorder="1" applyAlignment="1">
      <alignment horizontal="right"/>
    </xf>
    <xf numFmtId="4" fontId="71" fillId="58" borderId="27" xfId="0" applyNumberFormat="1" applyFont="1" applyFill="1" applyBorder="1" applyAlignment="1">
      <alignment horizontal="right"/>
    </xf>
    <xf numFmtId="2" fontId="0" fillId="62" borderId="32" xfId="0" applyNumberFormat="1" applyFill="1" applyBorder="1" applyAlignment="1">
      <alignment/>
    </xf>
    <xf numFmtId="216" fontId="0" fillId="62" borderId="32" xfId="0" applyNumberFormat="1" applyFill="1" applyBorder="1" applyAlignment="1">
      <alignment/>
    </xf>
    <xf numFmtId="216" fontId="0" fillId="62" borderId="1" xfId="0" applyNumberFormat="1" applyFill="1" applyBorder="1" applyAlignment="1">
      <alignment/>
    </xf>
    <xf numFmtId="0" fontId="0" fillId="62" borderId="1" xfId="0" applyNumberFormat="1" applyFill="1" applyBorder="1" applyAlignment="1">
      <alignment/>
    </xf>
    <xf numFmtId="2" fontId="0" fillId="62" borderId="1" xfId="0" applyNumberFormat="1" applyFill="1" applyBorder="1" applyAlignment="1">
      <alignment/>
    </xf>
    <xf numFmtId="4" fontId="71" fillId="62" borderId="27" xfId="0" applyNumberFormat="1" applyFont="1" applyFill="1" applyBorder="1" applyAlignment="1">
      <alignment horizontal="right"/>
    </xf>
    <xf numFmtId="4" fontId="71" fillId="62" borderId="36" xfId="0" applyNumberFormat="1" applyFont="1" applyFill="1" applyBorder="1" applyAlignment="1">
      <alignment horizontal="right"/>
    </xf>
    <xf numFmtId="0" fontId="0" fillId="0" borderId="0" xfId="0" applyBorder="1" applyAlignment="1">
      <alignment horizontal="right"/>
    </xf>
    <xf numFmtId="0" fontId="0" fillId="63" borderId="0" xfId="0" applyFill="1" applyBorder="1" applyAlignment="1">
      <alignment/>
    </xf>
    <xf numFmtId="0" fontId="3" fillId="62" borderId="37" xfId="0" applyFont="1" applyFill="1" applyBorder="1" applyAlignment="1">
      <alignment/>
    </xf>
    <xf numFmtId="2" fontId="3" fillId="62" borderId="38" xfId="0" applyNumberFormat="1" applyFont="1" applyFill="1" applyBorder="1" applyAlignment="1">
      <alignment/>
    </xf>
    <xf numFmtId="0" fontId="72" fillId="0" borderId="0" xfId="0" applyFont="1" applyAlignment="1">
      <alignment/>
    </xf>
    <xf numFmtId="0" fontId="73" fillId="0" borderId="0" xfId="0" applyFont="1" applyAlignment="1">
      <alignment/>
    </xf>
    <xf numFmtId="0" fontId="68" fillId="0" borderId="0" xfId="0" applyFont="1" applyAlignment="1">
      <alignment/>
    </xf>
    <xf numFmtId="2" fontId="0" fillId="57" borderId="39" xfId="0" applyNumberFormat="1" applyFill="1" applyBorder="1" applyAlignment="1">
      <alignment/>
    </xf>
    <xf numFmtId="3" fontId="68" fillId="0" borderId="0" xfId="0" applyNumberFormat="1" applyFont="1" applyFill="1" applyBorder="1" applyAlignment="1">
      <alignment/>
    </xf>
    <xf numFmtId="1" fontId="3" fillId="0" borderId="0" xfId="0" applyNumberFormat="1" applyFont="1" applyFill="1" applyBorder="1" applyAlignment="1">
      <alignment horizontal="center"/>
    </xf>
    <xf numFmtId="2" fontId="0" fillId="0" borderId="0" xfId="0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4" fontId="45" fillId="0" borderId="0" xfId="0" applyNumberFormat="1" applyFont="1" applyFill="1" applyBorder="1" applyAlignment="1">
      <alignment/>
    </xf>
    <xf numFmtId="3" fontId="46" fillId="0" borderId="0" xfId="0" applyNumberFormat="1" applyFont="1" applyFill="1" applyBorder="1" applyAlignment="1">
      <alignment/>
    </xf>
    <xf numFmtId="0" fontId="45" fillId="0" borderId="0" xfId="0" applyFont="1" applyFill="1" applyBorder="1" applyAlignment="1">
      <alignment/>
    </xf>
    <xf numFmtId="1" fontId="0" fillId="0" borderId="0" xfId="0" applyNumberFormat="1" applyFill="1" applyBorder="1" applyAlignment="1">
      <alignment/>
    </xf>
    <xf numFmtId="4" fontId="0" fillId="0" borderId="0" xfId="0" applyNumberFormat="1" applyFill="1" applyBorder="1" applyAlignment="1">
      <alignment horizontal="right"/>
    </xf>
    <xf numFmtId="3" fontId="68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60" borderId="0" xfId="0" applyFill="1" applyAlignment="1">
      <alignment/>
    </xf>
    <xf numFmtId="10" fontId="0" fillId="49" borderId="0" xfId="0" applyNumberFormat="1" applyFill="1" applyBorder="1" applyAlignment="1">
      <alignment/>
    </xf>
    <xf numFmtId="0" fontId="72" fillId="20" borderId="20" xfId="0" applyFont="1" applyFill="1" applyBorder="1" applyAlignment="1">
      <alignment/>
    </xf>
    <xf numFmtId="4" fontId="0" fillId="63" borderId="0" xfId="0" applyNumberFormat="1" applyFont="1" applyFill="1" applyAlignment="1">
      <alignment/>
    </xf>
    <xf numFmtId="4" fontId="0" fillId="63" borderId="19" xfId="0" applyNumberFormat="1" applyFill="1" applyBorder="1" applyAlignment="1">
      <alignment/>
    </xf>
    <xf numFmtId="4" fontId="0" fillId="63" borderId="0" xfId="0" applyNumberFormat="1" applyFill="1" applyBorder="1" applyAlignment="1">
      <alignment/>
    </xf>
    <xf numFmtId="2" fontId="0" fillId="63" borderId="1" xfId="0" applyNumberFormat="1" applyFill="1" applyBorder="1" applyAlignment="1">
      <alignment/>
    </xf>
  </cellXfs>
  <cellStyles count="318">
    <cellStyle name="Normal" xfId="0"/>
    <cellStyle name="20% - Accent1" xfId="15"/>
    <cellStyle name="20% - Accent1 2" xfId="16"/>
    <cellStyle name="20% - Accent1 3" xfId="17"/>
    <cellStyle name="20% - Accent1 4" xfId="18"/>
    <cellStyle name="20% - Accent2" xfId="19"/>
    <cellStyle name="20% - Accent2 2" xfId="20"/>
    <cellStyle name="20% - Accent2 3" xfId="21"/>
    <cellStyle name="20% - Accent2 4" xfId="22"/>
    <cellStyle name="20% - Accent3" xfId="23"/>
    <cellStyle name="20% - Accent3 2" xfId="24"/>
    <cellStyle name="20% - Accent3 3" xfId="25"/>
    <cellStyle name="20% - Accent3 4" xfId="26"/>
    <cellStyle name="20% - Accent4" xfId="27"/>
    <cellStyle name="20% - Accent4 2" xfId="28"/>
    <cellStyle name="20% - Accent4 3" xfId="29"/>
    <cellStyle name="20% - Accent4 4" xfId="30"/>
    <cellStyle name="20% - Accent5" xfId="31"/>
    <cellStyle name="20% - Accent5 2" xfId="32"/>
    <cellStyle name="20% - Accent5 3" xfId="33"/>
    <cellStyle name="20% - Accent5 4" xfId="34"/>
    <cellStyle name="20% - Accent6" xfId="35"/>
    <cellStyle name="20% - Accent6 2" xfId="36"/>
    <cellStyle name="20% - Accent6 3" xfId="37"/>
    <cellStyle name="20% - Accent6 4" xfId="38"/>
    <cellStyle name="40% - Accent1" xfId="39"/>
    <cellStyle name="40% - Accent1 2" xfId="40"/>
    <cellStyle name="40% - Accent1 3" xfId="41"/>
    <cellStyle name="40% - Accent1 4" xfId="42"/>
    <cellStyle name="40% - Accent2" xfId="43"/>
    <cellStyle name="40% - Accent2 2" xfId="44"/>
    <cellStyle name="40% - Accent2 3" xfId="45"/>
    <cellStyle name="40% - Accent2 4" xfId="46"/>
    <cellStyle name="40% - Accent3" xfId="47"/>
    <cellStyle name="40% - Accent3 2" xfId="48"/>
    <cellStyle name="40% - Accent3 3" xfId="49"/>
    <cellStyle name="40% - Accent3 4" xfId="50"/>
    <cellStyle name="40% - Accent4" xfId="51"/>
    <cellStyle name="40% - Accent4 2" xfId="52"/>
    <cellStyle name="40% - Accent4 3" xfId="53"/>
    <cellStyle name="40% - Accent4 4" xfId="54"/>
    <cellStyle name="40% - Accent5" xfId="55"/>
    <cellStyle name="40% - Accent5 2" xfId="56"/>
    <cellStyle name="40% - Accent5 3" xfId="57"/>
    <cellStyle name="40% - Accent5 4" xfId="58"/>
    <cellStyle name="40% - Accent6" xfId="59"/>
    <cellStyle name="40% - Accent6 2" xfId="60"/>
    <cellStyle name="40% - Accent6 3" xfId="61"/>
    <cellStyle name="40% - Accent6 4" xfId="62"/>
    <cellStyle name="60% - Accent1" xfId="63"/>
    <cellStyle name="60% - Accent1 2" xfId="64"/>
    <cellStyle name="60% - Accent1 3" xfId="65"/>
    <cellStyle name="60% - Accent1 4" xfId="66"/>
    <cellStyle name="60% - Accent2" xfId="67"/>
    <cellStyle name="60% - Accent2 2" xfId="68"/>
    <cellStyle name="60% - Accent2 3" xfId="69"/>
    <cellStyle name="60% - Accent2 4" xfId="70"/>
    <cellStyle name="60% - Accent3" xfId="71"/>
    <cellStyle name="60% - Accent3 2" xfId="72"/>
    <cellStyle name="60% - Accent3 3" xfId="73"/>
    <cellStyle name="60% - Accent3 4" xfId="74"/>
    <cellStyle name="60% - Accent4" xfId="75"/>
    <cellStyle name="60% - Accent4 2" xfId="76"/>
    <cellStyle name="60% - Accent4 3" xfId="77"/>
    <cellStyle name="60% - Accent4 4" xfId="78"/>
    <cellStyle name="60% - Accent5" xfId="79"/>
    <cellStyle name="60% - Accent5 2" xfId="80"/>
    <cellStyle name="60% - Accent5 3" xfId="81"/>
    <cellStyle name="60% - Accent5 4" xfId="82"/>
    <cellStyle name="60% - Accent6" xfId="83"/>
    <cellStyle name="60% - Accent6 2" xfId="84"/>
    <cellStyle name="60% - Accent6 3" xfId="85"/>
    <cellStyle name="60% - Accent6 4" xfId="86"/>
    <cellStyle name="Accent1" xfId="87"/>
    <cellStyle name="Accent1 2" xfId="88"/>
    <cellStyle name="Accent1 3" xfId="89"/>
    <cellStyle name="Accent1 4" xfId="90"/>
    <cellStyle name="Accent2" xfId="91"/>
    <cellStyle name="Accent2 2" xfId="92"/>
    <cellStyle name="Accent2 3" xfId="93"/>
    <cellStyle name="Accent2 4" xfId="94"/>
    <cellStyle name="Accent3" xfId="95"/>
    <cellStyle name="Accent3 2" xfId="96"/>
    <cellStyle name="Accent3 3" xfId="97"/>
    <cellStyle name="Accent3 4" xfId="98"/>
    <cellStyle name="Accent4" xfId="99"/>
    <cellStyle name="Accent4 2" xfId="100"/>
    <cellStyle name="Accent4 3" xfId="101"/>
    <cellStyle name="Accent4 4" xfId="102"/>
    <cellStyle name="Accent5" xfId="103"/>
    <cellStyle name="Accent5 2" xfId="104"/>
    <cellStyle name="Accent5 3" xfId="105"/>
    <cellStyle name="Accent5 4" xfId="106"/>
    <cellStyle name="Accent6" xfId="107"/>
    <cellStyle name="Accent6 2" xfId="108"/>
    <cellStyle name="Accent6 3" xfId="109"/>
    <cellStyle name="Accent6 4" xfId="110"/>
    <cellStyle name="Berekening" xfId="111"/>
    <cellStyle name="Berekening 2" xfId="112"/>
    <cellStyle name="Berekening 3" xfId="113"/>
    <cellStyle name="Controlecel" xfId="114"/>
    <cellStyle name="Controlecel 2" xfId="115"/>
    <cellStyle name="Controlecel 3" xfId="116"/>
    <cellStyle name="Controlecel 4" xfId="117"/>
    <cellStyle name="Custom - Opmaakprofiel8" xfId="118"/>
    <cellStyle name="Data   - Opmaakprofiel2" xfId="119"/>
    <cellStyle name="Euro" xfId="120"/>
    <cellStyle name="Gekoppelde cel" xfId="121"/>
    <cellStyle name="Gekoppelde cel 2" xfId="122"/>
    <cellStyle name="Gekoppelde cel 3" xfId="123"/>
    <cellStyle name="Followed Hyperlink" xfId="124"/>
    <cellStyle name="Goed" xfId="125"/>
    <cellStyle name="Goed 2" xfId="126"/>
    <cellStyle name="Goed 3" xfId="127"/>
    <cellStyle name="Hyperlink" xfId="128"/>
    <cellStyle name="Hyperlink 2" xfId="129"/>
    <cellStyle name="Hyperlink 3" xfId="130"/>
    <cellStyle name="Hyperlink 4" xfId="131"/>
    <cellStyle name="Hyperlink 5" xfId="132"/>
    <cellStyle name="Invoer" xfId="133"/>
    <cellStyle name="Invoer 2" xfId="134"/>
    <cellStyle name="Invoer 3" xfId="135"/>
    <cellStyle name="Invoer 4" xfId="136"/>
    <cellStyle name="Comma" xfId="137"/>
    <cellStyle name="Comma [0]" xfId="138"/>
    <cellStyle name="Komma 2" xfId="139"/>
    <cellStyle name="Komma 2 2" xfId="140"/>
    <cellStyle name="Komma 2 2 2" xfId="141"/>
    <cellStyle name="Komma 2 2 2 2" xfId="142"/>
    <cellStyle name="Komma 2 2 3" xfId="143"/>
    <cellStyle name="Komma 2 2 4" xfId="144"/>
    <cellStyle name="Komma 2 2 5" xfId="145"/>
    <cellStyle name="Komma 2 2 6" xfId="146"/>
    <cellStyle name="Komma 2 3" xfId="147"/>
    <cellStyle name="Komma 2 3 2" xfId="148"/>
    <cellStyle name="Komma 2 4" xfId="149"/>
    <cellStyle name="Komma 2 4 2" xfId="150"/>
    <cellStyle name="Komma 2 5" xfId="151"/>
    <cellStyle name="Komma 2 5 2" xfId="152"/>
    <cellStyle name="Komma 2 6" xfId="153"/>
    <cellStyle name="Komma 2 7" xfId="154"/>
    <cellStyle name="Komma 2 8" xfId="155"/>
    <cellStyle name="Komma 2 9" xfId="156"/>
    <cellStyle name="Komma 3" xfId="157"/>
    <cellStyle name="Kop 1" xfId="158"/>
    <cellStyle name="Kop 1 2" xfId="159"/>
    <cellStyle name="Kop 2" xfId="160"/>
    <cellStyle name="Kop 2 2" xfId="161"/>
    <cellStyle name="Kop 3" xfId="162"/>
    <cellStyle name="Kop 3 2" xfId="163"/>
    <cellStyle name="Kop 4" xfId="164"/>
    <cellStyle name="Kop 4 2" xfId="165"/>
    <cellStyle name="Labels - Opmaakprofiel3" xfId="166"/>
    <cellStyle name="Neutraal" xfId="167"/>
    <cellStyle name="Neutraal 2" xfId="168"/>
    <cellStyle name="Neutraal 3" xfId="169"/>
    <cellStyle name="Notitie" xfId="170"/>
    <cellStyle name="Notitie 2" xfId="171"/>
    <cellStyle name="Notitie 3" xfId="172"/>
    <cellStyle name="Notitie 4" xfId="173"/>
    <cellStyle name="Ongeldig" xfId="174"/>
    <cellStyle name="Ongeldig 2" xfId="175"/>
    <cellStyle name="Ongeldig 3" xfId="176"/>
    <cellStyle name="Ongeldig 4" xfId="177"/>
    <cellStyle name="Percent" xfId="178"/>
    <cellStyle name="Procent 2" xfId="179"/>
    <cellStyle name="Procent 2 2" xfId="180"/>
    <cellStyle name="Procent 2 2 2" xfId="181"/>
    <cellStyle name="Procent 3" xfId="182"/>
    <cellStyle name="Procent 4" xfId="183"/>
    <cellStyle name="Reset  - Opmaakprofiel7" xfId="184"/>
    <cellStyle name="Standaard 10" xfId="185"/>
    <cellStyle name="Standaard 10 10 2 2" xfId="186"/>
    <cellStyle name="Standaard 10 2" xfId="187"/>
    <cellStyle name="Standaard 11" xfId="188"/>
    <cellStyle name="Standaard 12" xfId="189"/>
    <cellStyle name="Standaard 13" xfId="190"/>
    <cellStyle name="Standaard 14" xfId="191"/>
    <cellStyle name="Standaard 15" xfId="192"/>
    <cellStyle name="Standaard 16" xfId="193"/>
    <cellStyle name="Standaard 2" xfId="194"/>
    <cellStyle name="Standaard 2 2" xfId="195"/>
    <cellStyle name="Standaard 2 3" xfId="196"/>
    <cellStyle name="Standaard 2 3 10" xfId="197"/>
    <cellStyle name="Standaard 2 3 11" xfId="198"/>
    <cellStyle name="Standaard 2 3 2" xfId="199"/>
    <cellStyle name="Standaard 2 3 2 2" xfId="200"/>
    <cellStyle name="Standaard 2 3 2 2 2" xfId="201"/>
    <cellStyle name="Standaard 2 3 2 3" xfId="202"/>
    <cellStyle name="Standaard 2 3 3" xfId="203"/>
    <cellStyle name="Standaard 2 3 3 2" xfId="204"/>
    <cellStyle name="Standaard 2 3 3 2 2" xfId="205"/>
    <cellStyle name="Standaard 2 3 3 3" xfId="206"/>
    <cellStyle name="Standaard 2 3 4" xfId="207"/>
    <cellStyle name="Standaard 2 3 4 2" xfId="208"/>
    <cellStyle name="Standaard 2 3 5" xfId="209"/>
    <cellStyle name="Standaard 2 3 5 2" xfId="210"/>
    <cellStyle name="Standaard 2 3 6" xfId="211"/>
    <cellStyle name="Standaard 2 3 6 2" xfId="212"/>
    <cellStyle name="Standaard 2 3 7" xfId="213"/>
    <cellStyle name="Standaard 2 3 7 2" xfId="214"/>
    <cellStyle name="Standaard 2 3 8" xfId="215"/>
    <cellStyle name="Standaard 2 3 9" xfId="216"/>
    <cellStyle name="Standaard 2 4" xfId="217"/>
    <cellStyle name="Standaard 2 4 2" xfId="218"/>
    <cellStyle name="Standaard 2 4 3" xfId="219"/>
    <cellStyle name="Standaard 2 5" xfId="220"/>
    <cellStyle name="Standaard 2 5 2" xfId="221"/>
    <cellStyle name="Standaard 2 5 3" xfId="222"/>
    <cellStyle name="Standaard 2 6" xfId="223"/>
    <cellStyle name="Standaard 20" xfId="224"/>
    <cellStyle name="Standaard 24" xfId="225"/>
    <cellStyle name="Standaard 25" xfId="226"/>
    <cellStyle name="Standaard 3" xfId="227"/>
    <cellStyle name="Standaard 3 2" xfId="228"/>
    <cellStyle name="Standaard 3 2 2" xfId="229"/>
    <cellStyle name="Standaard 3 2 3" xfId="230"/>
    <cellStyle name="Standaard 3 2 3 2" xfId="231"/>
    <cellStyle name="Standaard 3 2 3 2 2" xfId="232"/>
    <cellStyle name="Standaard 3 2 3 3" xfId="233"/>
    <cellStyle name="Standaard 3 2 4" xfId="234"/>
    <cellStyle name="Standaard 3 2 4 2" xfId="235"/>
    <cellStyle name="Standaard 3 2 5" xfId="236"/>
    <cellStyle name="Standaard 3 3" xfId="237"/>
    <cellStyle name="Standaard 3 3 2" xfId="238"/>
    <cellStyle name="Standaard 3 3 3" xfId="239"/>
    <cellStyle name="Standaard 3 4" xfId="240"/>
    <cellStyle name="Standaard 3 4 2" xfId="241"/>
    <cellStyle name="Standaard 3 4 2 2" xfId="242"/>
    <cellStyle name="Standaard 3 4 3" xfId="243"/>
    <cellStyle name="Standaard 3 5" xfId="244"/>
    <cellStyle name="Standaard 3 6" xfId="245"/>
    <cellStyle name="Standaard 3 6 2" xfId="246"/>
    <cellStyle name="Standaard 3 7" xfId="247"/>
    <cellStyle name="Standaard 3 8" xfId="248"/>
    <cellStyle name="Standaard 4" xfId="249"/>
    <cellStyle name="Standaard 4 10" xfId="250"/>
    <cellStyle name="Standaard 4 2" xfId="251"/>
    <cellStyle name="Standaard 4 2 2" xfId="252"/>
    <cellStyle name="Standaard 4 2 2 2" xfId="253"/>
    <cellStyle name="Standaard 4 2 3" xfId="254"/>
    <cellStyle name="Standaard 4 3" xfId="255"/>
    <cellStyle name="Standaard 4 3 2" xfId="256"/>
    <cellStyle name="Standaard 4 3 2 2" xfId="257"/>
    <cellStyle name="Standaard 4 3 3" xfId="258"/>
    <cellStyle name="Standaard 4 4" xfId="259"/>
    <cellStyle name="Standaard 4 4 2" xfId="260"/>
    <cellStyle name="Standaard 4 4 2 2" xfId="261"/>
    <cellStyle name="Standaard 4 4 3" xfId="262"/>
    <cellStyle name="Standaard 4 5" xfId="263"/>
    <cellStyle name="Standaard 4 5 2" xfId="264"/>
    <cellStyle name="Standaard 4 6" xfId="265"/>
    <cellStyle name="Standaard 4 6 2" xfId="266"/>
    <cellStyle name="Standaard 4 7" xfId="267"/>
    <cellStyle name="Standaard 4 7 2" xfId="268"/>
    <cellStyle name="Standaard 4 8" xfId="269"/>
    <cellStyle name="Standaard 4 9" xfId="270"/>
    <cellStyle name="Standaard 5" xfId="271"/>
    <cellStyle name="Standaard 5 10" xfId="272"/>
    <cellStyle name="Standaard 5 11" xfId="273"/>
    <cellStyle name="Standaard 5 12" xfId="274"/>
    <cellStyle name="Standaard 5 2" xfId="275"/>
    <cellStyle name="Standaard 5 2 2" xfId="276"/>
    <cellStyle name="Standaard 5 3" xfId="277"/>
    <cellStyle name="Standaard 5 3 2" xfId="278"/>
    <cellStyle name="Standaard 5 3 3" xfId="279"/>
    <cellStyle name="Standaard 5 3 3 2" xfId="280"/>
    <cellStyle name="Standaard 5 3 4" xfId="281"/>
    <cellStyle name="Standaard 5 4" xfId="282"/>
    <cellStyle name="Standaard 5 4 2" xfId="283"/>
    <cellStyle name="Standaard 5 4 2 2" xfId="284"/>
    <cellStyle name="Standaard 5 4 3" xfId="285"/>
    <cellStyle name="Standaard 5 5" xfId="286"/>
    <cellStyle name="Standaard 5 5 2" xfId="287"/>
    <cellStyle name="Standaard 5 5 2 2" xfId="288"/>
    <cellStyle name="Standaard 5 5 3" xfId="289"/>
    <cellStyle name="Standaard 5 6" xfId="290"/>
    <cellStyle name="Standaard 5 6 2" xfId="291"/>
    <cellStyle name="Standaard 5 7" xfId="292"/>
    <cellStyle name="Standaard 5 7 2" xfId="293"/>
    <cellStyle name="Standaard 5 8" xfId="294"/>
    <cellStyle name="Standaard 5 8 2" xfId="295"/>
    <cellStyle name="Standaard 5 9" xfId="296"/>
    <cellStyle name="Standaard 6" xfId="297"/>
    <cellStyle name="Standaard 7" xfId="298"/>
    <cellStyle name="Standaard 7 2" xfId="299"/>
    <cellStyle name="Standaard 8" xfId="300"/>
    <cellStyle name="Standaard 8 2" xfId="301"/>
    <cellStyle name="Standaard 8 3" xfId="302"/>
    <cellStyle name="Standaard 8 3 2" xfId="303"/>
    <cellStyle name="Standaard 8 4" xfId="304"/>
    <cellStyle name="Standaard 8 5" xfId="305"/>
    <cellStyle name="Standaard 9" xfId="306"/>
    <cellStyle name="Standaard 9 2" xfId="307"/>
    <cellStyle name="Table  - Opmaakprofiel6" xfId="308"/>
    <cellStyle name="Titel" xfId="309"/>
    <cellStyle name="Titel 2" xfId="310"/>
    <cellStyle name="Title  - Opmaakprofiel1" xfId="311"/>
    <cellStyle name="Totaal" xfId="312"/>
    <cellStyle name="Totaal 2" xfId="313"/>
    <cellStyle name="Totaal 3" xfId="314"/>
    <cellStyle name="TotCol - Opmaakprofiel5" xfId="315"/>
    <cellStyle name="TotRow - Opmaakprofiel4" xfId="316"/>
    <cellStyle name="Uitvoer" xfId="317"/>
    <cellStyle name="Uitvoer 2" xfId="318"/>
    <cellStyle name="Uitvoer 3" xfId="319"/>
    <cellStyle name="Uitvoer 4" xfId="320"/>
    <cellStyle name="Currency" xfId="321"/>
    <cellStyle name="Currency [0]" xfId="322"/>
    <cellStyle name="Valuta 2" xfId="323"/>
    <cellStyle name="Valuta 3" xfId="324"/>
    <cellStyle name="Verklarende tekst" xfId="325"/>
    <cellStyle name="Verklarende tekst 2" xfId="326"/>
    <cellStyle name="Verklarende tekst 3" xfId="327"/>
    <cellStyle name="Verklarende tekst 4" xfId="328"/>
    <cellStyle name="Waarschuwingstekst" xfId="329"/>
    <cellStyle name="Waarschuwingstekst 2" xfId="330"/>
    <cellStyle name="Waarschuwingstekst 3" xfId="33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en\Documenten2\EXCEL%20voor%20OP%20NP%20Wzp%20ANW\DL%20ANW%20rekensjabloon%20Techn%20bureau%20CdeHeer%20100%20rekening%20wn%20met%20peildatum%2001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UTPUT"/>
      <sheetName val="INPUT"/>
      <sheetName val="Berekening en Tabel"/>
    </sheetNames>
    <sheetDataSet>
      <sheetData sheetId="1">
        <row r="2">
          <cell r="B2">
            <v>22741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"/>
  <sheetViews>
    <sheetView zoomScalePageLayoutView="0" workbookViewId="0" topLeftCell="A1">
      <selection activeCell="K2" sqref="K2"/>
    </sheetView>
  </sheetViews>
  <sheetFormatPr defaultColWidth="9.140625" defaultRowHeight="12.75"/>
  <cols>
    <col min="1" max="1" width="11.421875" style="9" customWidth="1"/>
    <col min="2" max="3" width="9.140625" style="9" customWidth="1"/>
    <col min="4" max="5" width="16.8515625" style="9" customWidth="1"/>
    <col min="6" max="6" width="13.7109375" style="9" customWidth="1"/>
    <col min="7" max="7" width="21.57421875" style="9" customWidth="1"/>
    <col min="8" max="8" width="14.28125" style="9" customWidth="1"/>
    <col min="9" max="10" width="14.421875" style="9" customWidth="1"/>
    <col min="11" max="11" width="15.7109375" style="9" customWidth="1"/>
    <col min="12" max="18" width="16.28125" style="9" customWidth="1"/>
    <col min="19" max="19" width="7.28125" style="9" customWidth="1"/>
    <col min="20" max="20" width="32.8515625" style="9" customWidth="1"/>
    <col min="21" max="21" width="32.57421875" style="9" customWidth="1"/>
    <col min="22" max="22" width="24.421875" style="9" customWidth="1"/>
    <col min="23" max="23" width="22.140625" style="9" customWidth="1"/>
    <col min="24" max="24" width="28.7109375" style="9" customWidth="1"/>
    <col min="25" max="25" width="24.28125" style="9" customWidth="1"/>
    <col min="26" max="26" width="19.57421875" style="9" customWidth="1"/>
    <col min="27" max="16384" width="9.140625" style="9" customWidth="1"/>
  </cols>
  <sheetData>
    <row r="1" spans="1:26" ht="15">
      <c r="A1" s="9" t="s">
        <v>79</v>
      </c>
      <c r="B1" s="9" t="s">
        <v>50</v>
      </c>
      <c r="C1" s="9" t="s">
        <v>303</v>
      </c>
      <c r="D1" s="9" t="s">
        <v>110</v>
      </c>
      <c r="E1" s="9" t="s">
        <v>214</v>
      </c>
      <c r="F1" s="9" t="s">
        <v>298</v>
      </c>
      <c r="G1" s="9" t="s">
        <v>300</v>
      </c>
      <c r="H1" s="9" t="s">
        <v>132</v>
      </c>
      <c r="I1" s="9" t="s">
        <v>190</v>
      </c>
      <c r="J1" s="9" t="s">
        <v>327</v>
      </c>
      <c r="K1" s="9" t="s">
        <v>232</v>
      </c>
      <c r="L1" s="9" t="s">
        <v>277</v>
      </c>
      <c r="M1" s="9" t="s">
        <v>207</v>
      </c>
      <c r="N1" s="9" t="s">
        <v>108</v>
      </c>
      <c r="O1" s="9" t="s">
        <v>282</v>
      </c>
      <c r="P1" s="9" t="s">
        <v>123</v>
      </c>
      <c r="Q1" s="9" t="s">
        <v>164</v>
      </c>
      <c r="R1" s="9" t="s">
        <v>43</v>
      </c>
      <c r="S1" s="9" t="s">
        <v>39</v>
      </c>
      <c r="T1" s="38" t="s">
        <v>187</v>
      </c>
      <c r="U1" s="38" t="s">
        <v>22</v>
      </c>
      <c r="V1" s="39" t="s">
        <v>0</v>
      </c>
      <c r="W1" s="39" t="s">
        <v>274</v>
      </c>
      <c r="X1" s="40" t="s">
        <v>149</v>
      </c>
      <c r="Y1" s="40" t="s">
        <v>294</v>
      </c>
      <c r="Z1" s="49" t="s">
        <v>244</v>
      </c>
    </row>
    <row r="2" spans="1:26" ht="12.75">
      <c r="A2" s="9">
        <f>input_pensioengevend_salaris</f>
        <v>35445</v>
      </c>
      <c r="B2" s="9">
        <f>input_franchise</f>
        <v>13122</v>
      </c>
      <c r="C2" s="9">
        <f>input_franchise_np</f>
        <v>13122</v>
      </c>
      <c r="D2" s="9">
        <f>input_pensioengrondslag</f>
        <v>22323</v>
      </c>
      <c r="E2" s="9">
        <f>Berekening!B29</f>
        <v>312664.77012847253</v>
      </c>
      <c r="F2" s="9">
        <f>Berekening!D29</f>
        <v>12866.8629682499</v>
      </c>
      <c r="G2" s="9">
        <v>0</v>
      </c>
      <c r="H2" s="9">
        <f>'Premie x PG lft'!L19</f>
        <v>10573.661</v>
      </c>
      <c r="I2" s="9">
        <f>'Premie x PG lft'!L20</f>
        <v>2114.7322</v>
      </c>
      <c r="J2" s="9">
        <f>Berekening!B22</f>
        <v>1763.517</v>
      </c>
      <c r="K2" s="9">
        <f>Berekening!B23</f>
        <v>881.7585</v>
      </c>
      <c r="L2" s="9">
        <f>Berekening!B24</f>
        <v>881.7585</v>
      </c>
      <c r="M2" s="9">
        <v>0</v>
      </c>
      <c r="N2" s="9">
        <v>0</v>
      </c>
      <c r="O2" s="9">
        <v>0</v>
      </c>
      <c r="P2" s="9">
        <v>0</v>
      </c>
      <c r="Q2" s="9">
        <v>0</v>
      </c>
      <c r="R2" s="9">
        <v>0</v>
      </c>
      <c r="S2" s="9">
        <v>0</v>
      </c>
      <c r="T2" s="9">
        <f>Berekening!D28</f>
        <v>10744.421075101089</v>
      </c>
      <c r="U2" s="9">
        <f>Berekening!B28</f>
        <v>261089.43212495648</v>
      </c>
      <c r="V2" s="9">
        <f>Berekening!D29</f>
        <v>12866.8629682499</v>
      </c>
      <c r="W2" s="9">
        <f>Berekening!B29</f>
        <v>312664.77012847253</v>
      </c>
      <c r="X2" s="9">
        <f>Berekening!D30</f>
        <v>12389.025101448386</v>
      </c>
      <c r="Y2" s="9">
        <f>Berekening!B30</f>
        <v>301053.3099651958</v>
      </c>
      <c r="Z2" s="9">
        <v>0</v>
      </c>
    </row>
  </sheetData>
  <sheetProtection/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4"/>
  <sheetViews>
    <sheetView zoomScalePageLayoutView="0" workbookViewId="0" topLeftCell="A1">
      <selection activeCell="S3" sqref="S3"/>
    </sheetView>
  </sheetViews>
  <sheetFormatPr defaultColWidth="27.00390625" defaultRowHeight="12.75"/>
  <cols>
    <col min="1" max="1" width="12.7109375" style="0" customWidth="1"/>
    <col min="2" max="2" width="12.8515625" style="0" hidden="1" customWidth="1"/>
    <col min="3" max="3" width="19.57421875" style="0" hidden="1" customWidth="1"/>
    <col min="4" max="4" width="18.28125" style="0" hidden="1" customWidth="1"/>
    <col min="5" max="5" width="16.28125" style="0" hidden="1" customWidth="1"/>
    <col min="6" max="6" width="13.421875" style="0" hidden="1" customWidth="1"/>
    <col min="7" max="7" width="18.00390625" style="0" hidden="1" customWidth="1"/>
    <col min="8" max="8" width="21.421875" style="0" hidden="1" customWidth="1"/>
    <col min="9" max="9" width="18.421875" style="0" hidden="1" customWidth="1"/>
    <col min="10" max="10" width="23.7109375" style="0" hidden="1" customWidth="1"/>
    <col min="11" max="11" width="18.57421875" style="0" hidden="1" customWidth="1"/>
    <col min="12" max="12" width="15.28125" style="0" hidden="1" customWidth="1"/>
    <col min="13" max="13" width="13.140625" style="0" hidden="1" customWidth="1"/>
    <col min="14" max="14" width="10.140625" style="0" hidden="1" customWidth="1"/>
    <col min="15" max="15" width="11.140625" style="0" hidden="1" customWidth="1"/>
    <col min="16" max="16" width="14.140625" style="0" hidden="1" customWidth="1"/>
    <col min="17" max="17" width="11.7109375" style="0" customWidth="1"/>
    <col min="18" max="18" width="8.57421875" style="0" customWidth="1"/>
    <col min="19" max="19" width="15.28125" style="0" customWidth="1"/>
    <col min="20" max="20" width="12.28125" style="0" hidden="1" customWidth="1"/>
    <col min="21" max="21" width="6.140625" style="0" hidden="1" customWidth="1"/>
    <col min="22" max="22" width="12.421875" style="0" hidden="1" customWidth="1"/>
    <col min="23" max="23" width="11.28125" style="0" hidden="1" customWidth="1"/>
    <col min="24" max="24" width="9.140625" style="0" hidden="1" customWidth="1"/>
    <col min="25" max="26" width="6.28125" style="0" hidden="1" customWidth="1"/>
    <col min="27" max="27" width="14.57421875" style="0" hidden="1" customWidth="1"/>
    <col min="28" max="28" width="21.00390625" style="0" hidden="1" customWidth="1"/>
    <col min="29" max="29" width="9.421875" style="0" hidden="1" customWidth="1"/>
    <col min="30" max="30" width="11.28125" style="0" hidden="1" customWidth="1"/>
    <col min="31" max="31" width="14.7109375" style="0" hidden="1" customWidth="1"/>
    <col min="32" max="32" width="11.421875" style="0" hidden="1" customWidth="1"/>
    <col min="33" max="33" width="5.00390625" style="0" hidden="1" customWidth="1"/>
    <col min="34" max="34" width="15.7109375" style="0" hidden="1" customWidth="1"/>
    <col min="35" max="35" width="18.7109375" style="0" hidden="1" customWidth="1"/>
    <col min="36" max="36" width="16.28125" style="0" customWidth="1"/>
    <col min="37" max="37" width="17.00390625" style="0" hidden="1" customWidth="1"/>
    <col min="38" max="38" width="13.7109375" style="0" customWidth="1"/>
    <col min="39" max="39" width="20.00390625" style="0" customWidth="1"/>
    <col min="40" max="40" width="15.140625" style="0" customWidth="1"/>
    <col min="41" max="41" width="18.140625" style="0" hidden="1" customWidth="1"/>
    <col min="42" max="42" width="10.7109375" style="0" hidden="1" customWidth="1"/>
    <col min="43" max="43" width="6.421875" style="0" hidden="1" customWidth="1"/>
    <col min="44" max="44" width="21.00390625" style="0" hidden="1" customWidth="1"/>
    <col min="45" max="46" width="19.421875" style="0" hidden="1" customWidth="1"/>
    <col min="47" max="47" width="15.8515625" style="0" hidden="1" customWidth="1"/>
    <col min="48" max="48" width="17.00390625" style="0" hidden="1" customWidth="1"/>
    <col min="49" max="49" width="7.57421875" style="0" hidden="1" customWidth="1"/>
    <col min="50" max="50" width="8.57421875" style="0" hidden="1" customWidth="1"/>
    <col min="51" max="51" width="9.28125" style="0" hidden="1" customWidth="1"/>
    <col min="52" max="52" width="12.421875" style="0" hidden="1" customWidth="1"/>
    <col min="53" max="53" width="8.8515625" style="0" hidden="1" customWidth="1"/>
    <col min="54" max="54" width="19.140625" style="0" hidden="1" customWidth="1"/>
    <col min="55" max="55" width="18.00390625" style="0" hidden="1" customWidth="1"/>
    <col min="56" max="56" width="20.140625" style="0" hidden="1" customWidth="1"/>
    <col min="57" max="57" width="20.7109375" style="0" hidden="1" customWidth="1"/>
    <col min="58" max="58" width="17.00390625" style="0" hidden="1" customWidth="1"/>
    <col min="59" max="59" width="18.7109375" style="0" hidden="1" customWidth="1"/>
    <col min="60" max="60" width="17.421875" style="0" hidden="1" customWidth="1"/>
    <col min="61" max="61" width="20.00390625" style="0" hidden="1" customWidth="1"/>
    <col min="62" max="62" width="9.8515625" style="0" hidden="1" customWidth="1"/>
    <col min="63" max="63" width="20.57421875" style="0" hidden="1" customWidth="1"/>
    <col min="64" max="64" width="26.421875" style="0" hidden="1" customWidth="1"/>
    <col min="65" max="65" width="28.00390625" style="0" hidden="1" customWidth="1"/>
    <col min="66" max="66" width="33.8515625" style="0" hidden="1" customWidth="1"/>
    <col min="67" max="67" width="27.57421875" style="0" hidden="1" customWidth="1"/>
    <col min="68" max="68" width="33.28125" style="0" hidden="1" customWidth="1"/>
    <col min="69" max="69" width="27.140625" style="0" hidden="1" customWidth="1"/>
    <col min="70" max="70" width="33.421875" style="0" hidden="1" customWidth="1"/>
    <col min="71" max="71" width="15.140625" style="0" customWidth="1"/>
    <col min="72" max="72" width="19.7109375" style="0" hidden="1" customWidth="1"/>
    <col min="73" max="74" width="18.28125" style="0" hidden="1" customWidth="1"/>
    <col min="75" max="75" width="18.00390625" style="0" hidden="1" customWidth="1"/>
    <col min="76" max="76" width="19.00390625" style="0" hidden="1" customWidth="1"/>
    <col min="77" max="77" width="22.00390625" style="0" hidden="1" customWidth="1"/>
    <col min="78" max="78" width="19.57421875" style="0" hidden="1" customWidth="1"/>
    <col min="79" max="79" width="16.28125" style="0" customWidth="1"/>
    <col min="80" max="80" width="23.140625" style="0" customWidth="1"/>
    <col min="81" max="81" width="28.8515625" style="0" hidden="1" customWidth="1"/>
    <col min="82" max="84" width="29.28125" style="0" hidden="1" customWidth="1"/>
    <col min="85" max="85" width="33.00390625" style="0" hidden="1" customWidth="1"/>
    <col min="86" max="86" width="29.140625" style="0" hidden="1" customWidth="1"/>
    <col min="87" max="87" width="28.28125" style="0" hidden="1" customWidth="1"/>
    <col min="88" max="88" width="21.57421875" style="0" hidden="1" customWidth="1"/>
    <col min="89" max="90" width="25.140625" style="0" hidden="1" customWidth="1"/>
    <col min="91" max="91" width="21.7109375" style="0" hidden="1" customWidth="1"/>
    <col min="92" max="92" width="23.140625" style="0" hidden="1" customWidth="1"/>
    <col min="93" max="93" width="21.7109375" style="0" hidden="1" customWidth="1"/>
    <col min="94" max="94" width="20.28125" style="0" hidden="1" customWidth="1"/>
    <col min="95" max="95" width="15.8515625" style="0" customWidth="1"/>
    <col min="96" max="96" width="17.57421875" style="0" hidden="1" customWidth="1"/>
    <col min="97" max="97" width="22.00390625" style="0" hidden="1" customWidth="1"/>
    <col min="98" max="98" width="18.7109375" style="0" hidden="1" customWidth="1"/>
    <col min="99" max="99" width="19.28125" style="0" hidden="1" customWidth="1"/>
    <col min="100" max="100" width="21.7109375" style="0" customWidth="1"/>
    <col min="101" max="101" width="15.140625" style="0" customWidth="1"/>
    <col min="102" max="102" width="18.8515625" style="0" customWidth="1"/>
    <col min="103" max="103" width="28.7109375" style="0" customWidth="1"/>
    <col min="104" max="104" width="23.8515625" style="0" customWidth="1"/>
    <col min="105" max="105" width="23.421875" style="0" hidden="1" customWidth="1"/>
    <col min="106" max="106" width="21.8515625" style="0" customWidth="1"/>
    <col min="107" max="107" width="17.421875" style="0" hidden="1" customWidth="1"/>
    <col min="108" max="108" width="18.7109375" style="0" hidden="1" customWidth="1"/>
    <col min="109" max="109" width="17.421875" style="0" hidden="1" customWidth="1"/>
    <col min="110" max="110" width="18.7109375" style="0" hidden="1" customWidth="1"/>
    <col min="111" max="111" width="21.421875" style="0" hidden="1" customWidth="1"/>
    <col min="112" max="113" width="20.140625" style="0" hidden="1" customWidth="1"/>
    <col min="114" max="114" width="21.00390625" style="0" hidden="1" customWidth="1"/>
    <col min="115" max="115" width="21.140625" style="0" hidden="1" customWidth="1"/>
    <col min="116" max="116" width="21.00390625" style="0" hidden="1" customWidth="1"/>
    <col min="117" max="117" width="21.140625" style="0" hidden="1" customWidth="1"/>
    <col min="118" max="118" width="27.00390625" style="0" hidden="1" customWidth="1"/>
    <col min="119" max="119" width="17.57421875" style="0" hidden="1" customWidth="1"/>
    <col min="120" max="120" width="22.00390625" style="0" hidden="1" customWidth="1"/>
    <col min="121" max="121" width="18.7109375" style="0" hidden="1" customWidth="1"/>
    <col min="122" max="122" width="19.28125" style="0" hidden="1" customWidth="1"/>
    <col min="123" max="123" width="21.7109375" style="0" hidden="1" customWidth="1"/>
    <col min="124" max="124" width="15.140625" style="0" hidden="1" customWidth="1"/>
    <col min="125" max="125" width="18.8515625" style="0" hidden="1" customWidth="1"/>
    <col min="126" max="126" width="28.7109375" style="0" hidden="1" customWidth="1"/>
    <col min="127" max="127" width="23.8515625" style="0" hidden="1" customWidth="1"/>
    <col min="128" max="128" width="23.421875" style="0" hidden="1" customWidth="1"/>
    <col min="129" max="129" width="21.8515625" style="0" hidden="1" customWidth="1"/>
    <col min="130" max="130" width="17.421875" style="0" hidden="1" customWidth="1"/>
    <col min="131" max="131" width="18.7109375" style="0" hidden="1" customWidth="1"/>
    <col min="132" max="132" width="17.421875" style="0" hidden="1" customWidth="1"/>
    <col min="133" max="133" width="18.7109375" style="0" hidden="1" customWidth="1"/>
    <col min="134" max="134" width="21.421875" style="0" hidden="1" customWidth="1"/>
    <col min="135" max="136" width="20.140625" style="0" hidden="1" customWidth="1"/>
    <col min="137" max="137" width="21.00390625" style="0" hidden="1" customWidth="1"/>
    <col min="138" max="138" width="21.140625" style="0" hidden="1" customWidth="1"/>
    <col min="139" max="139" width="21.00390625" style="0" hidden="1" customWidth="1"/>
    <col min="140" max="140" width="21.140625" style="0" hidden="1" customWidth="1"/>
    <col min="141" max="141" width="27.00390625" style="0" hidden="1" customWidth="1"/>
    <col min="142" max="142" width="17.57421875" style="0" hidden="1" customWidth="1"/>
    <col min="143" max="143" width="22.00390625" style="0" hidden="1" customWidth="1"/>
    <col min="144" max="144" width="18.7109375" style="0" hidden="1" customWidth="1"/>
    <col min="145" max="145" width="19.28125" style="0" hidden="1" customWidth="1"/>
    <col min="146" max="146" width="21.7109375" style="0" hidden="1" customWidth="1"/>
    <col min="147" max="147" width="15.140625" style="0" hidden="1" customWidth="1"/>
    <col min="148" max="148" width="18.8515625" style="0" hidden="1" customWidth="1"/>
    <col min="149" max="149" width="28.7109375" style="0" hidden="1" customWidth="1"/>
    <col min="150" max="150" width="23.8515625" style="0" hidden="1" customWidth="1"/>
    <col min="151" max="151" width="23.421875" style="0" hidden="1" customWidth="1"/>
    <col min="152" max="152" width="21.8515625" style="0" hidden="1" customWidth="1"/>
    <col min="153" max="153" width="17.421875" style="0" hidden="1" customWidth="1"/>
    <col min="154" max="154" width="18.7109375" style="0" hidden="1" customWidth="1"/>
    <col min="155" max="155" width="17.421875" style="0" hidden="1" customWidth="1"/>
    <col min="156" max="156" width="18.7109375" style="0" hidden="1" customWidth="1"/>
    <col min="157" max="157" width="21.421875" style="0" hidden="1" customWidth="1"/>
    <col min="158" max="159" width="20.140625" style="0" hidden="1" customWidth="1"/>
    <col min="160" max="160" width="21.00390625" style="0" hidden="1" customWidth="1"/>
    <col min="161" max="161" width="21.140625" style="0" hidden="1" customWidth="1"/>
    <col min="162" max="162" width="21.00390625" style="0" hidden="1" customWidth="1"/>
    <col min="163" max="163" width="21.140625" style="0" hidden="1" customWidth="1"/>
    <col min="164" max="164" width="27.00390625" style="0" hidden="1" customWidth="1"/>
    <col min="165" max="165" width="15.421875" style="0" hidden="1" customWidth="1"/>
    <col min="166" max="166" width="19.8515625" style="0" hidden="1" customWidth="1"/>
    <col min="167" max="167" width="16.57421875" style="0" hidden="1" customWidth="1"/>
    <col min="168" max="168" width="17.28125" style="0" hidden="1" customWidth="1"/>
    <col min="169" max="169" width="19.57421875" style="0" hidden="1" customWidth="1"/>
    <col min="170" max="170" width="13.140625" style="0" hidden="1" customWidth="1"/>
    <col min="171" max="171" width="26.7109375" style="0" hidden="1" customWidth="1"/>
    <col min="172" max="172" width="21.8515625" style="0" hidden="1" customWidth="1"/>
    <col min="173" max="173" width="21.421875" style="0" hidden="1" customWidth="1"/>
    <col min="174" max="174" width="19.7109375" style="0" hidden="1" customWidth="1"/>
    <col min="175" max="175" width="11.7109375" style="0" hidden="1" customWidth="1"/>
    <col min="176" max="176" width="12.8515625" style="0" hidden="1" customWidth="1"/>
    <col min="177" max="177" width="19.28125" style="0" hidden="1" customWidth="1"/>
    <col min="178" max="178" width="14.421875" style="0" hidden="1" customWidth="1"/>
    <col min="179" max="179" width="15.28125" style="0" hidden="1" customWidth="1"/>
    <col min="180" max="180" width="15.421875" style="0" hidden="1" customWidth="1"/>
    <col min="181" max="181" width="19.57421875" style="0" hidden="1" customWidth="1"/>
    <col min="182" max="182" width="20.421875" style="0" hidden="1" customWidth="1"/>
    <col min="183" max="183" width="20.57421875" style="0" hidden="1" customWidth="1"/>
    <col min="184" max="184" width="21.00390625" style="0" hidden="1" customWidth="1"/>
    <col min="185" max="185" width="19.57421875" style="0" hidden="1" customWidth="1"/>
    <col min="186" max="186" width="22.57421875" style="0" hidden="1" customWidth="1"/>
    <col min="187" max="187" width="23.140625" style="0" hidden="1" customWidth="1"/>
    <col min="188" max="189" width="25.140625" style="0" hidden="1" customWidth="1"/>
    <col min="190" max="190" width="21.140625" style="0" hidden="1" customWidth="1"/>
    <col min="191" max="191" width="21.421875" style="0" hidden="1" customWidth="1"/>
    <col min="192" max="192" width="17.57421875" style="0" hidden="1" customWidth="1"/>
    <col min="193" max="193" width="18.28125" style="0" hidden="1" customWidth="1"/>
    <col min="194" max="194" width="17.28125" style="0" hidden="1" customWidth="1"/>
    <col min="195" max="195" width="21.7109375" style="0" hidden="1" customWidth="1"/>
    <col min="196" max="196" width="18.7109375" style="0" hidden="1" customWidth="1"/>
    <col min="197" max="197" width="19.28125" style="0" hidden="1" customWidth="1"/>
    <col min="198" max="198" width="21.421875" style="0" hidden="1" customWidth="1"/>
    <col min="199" max="199" width="11.00390625" style="0" hidden="1" customWidth="1"/>
    <col min="200" max="200" width="13.7109375" style="0" hidden="1" customWidth="1"/>
    <col min="201" max="201" width="16.421875" style="0" hidden="1" customWidth="1"/>
    <col min="202" max="202" width="17.421875" style="0" hidden="1" customWidth="1"/>
    <col min="203" max="203" width="17.57421875" style="0" hidden="1" customWidth="1"/>
    <col min="204" max="204" width="23.00390625" style="0" hidden="1" customWidth="1"/>
    <col min="205" max="205" width="27.421875" style="0" hidden="1" customWidth="1"/>
    <col min="206" max="206" width="24.421875" style="0" hidden="1" customWidth="1"/>
    <col min="207" max="207" width="25.00390625" style="0" hidden="1" customWidth="1"/>
    <col min="208" max="208" width="27.140625" style="0" hidden="1" customWidth="1"/>
    <col min="209" max="209" width="21.140625" style="0" hidden="1" customWidth="1"/>
    <col min="210" max="210" width="21.00390625" style="0" hidden="1" customWidth="1"/>
    <col min="211" max="211" width="22.28125" style="0" hidden="1" customWidth="1"/>
    <col min="212" max="212" width="23.140625" style="0" hidden="1" customWidth="1"/>
    <col min="213" max="213" width="23.28125" style="0" hidden="1" customWidth="1"/>
    <col min="214" max="214" width="22.7109375" style="0" hidden="1" customWidth="1"/>
    <col min="215" max="215" width="27.140625" style="0" hidden="1" customWidth="1"/>
    <col min="216" max="216" width="24.140625" style="0" hidden="1" customWidth="1"/>
    <col min="217" max="217" width="24.7109375" style="0" hidden="1" customWidth="1"/>
    <col min="218" max="218" width="27.140625" style="0" hidden="1" customWidth="1"/>
    <col min="219" max="219" width="16.421875" style="0" hidden="1" customWidth="1"/>
    <col min="220" max="220" width="22.00390625" style="0" hidden="1" customWidth="1"/>
    <col min="221" max="221" width="22.8515625" style="0" hidden="1" customWidth="1"/>
    <col min="222" max="222" width="23.00390625" style="0" hidden="1" customWidth="1"/>
    <col min="223" max="223" width="33.140625" style="0" hidden="1" customWidth="1"/>
    <col min="224" max="224" width="37.57421875" style="0" hidden="1" customWidth="1"/>
    <col min="225" max="225" width="21.421875" style="0" hidden="1" customWidth="1"/>
    <col min="226" max="226" width="32.421875" style="0" hidden="1" customWidth="1"/>
    <col min="227" max="227" width="33.28125" style="0" hidden="1" customWidth="1"/>
    <col min="228" max="228" width="33.421875" style="0" hidden="1" customWidth="1"/>
    <col min="229" max="229" width="29.8515625" style="0" hidden="1" customWidth="1"/>
    <col min="230" max="230" width="32.57421875" style="0" hidden="1" customWidth="1"/>
    <col min="231" max="231" width="24.28125" style="0" hidden="1" customWidth="1"/>
    <col min="232" max="234" width="30.28125" style="0" hidden="1" customWidth="1"/>
    <col min="235" max="235" width="33.140625" style="0" hidden="1" customWidth="1"/>
    <col min="236" max="236" width="37.57421875" style="0" hidden="1" customWidth="1"/>
    <col min="237" max="237" width="34.7109375" style="0" hidden="1" customWidth="1"/>
    <col min="238" max="238" width="35.28125" style="0" hidden="1" customWidth="1"/>
    <col min="239" max="239" width="37.28125" style="0" hidden="1" customWidth="1"/>
    <col min="240" max="240" width="32.421875" style="0" hidden="1" customWidth="1"/>
    <col min="241" max="241" width="33.28125" style="0" hidden="1" customWidth="1"/>
    <col min="242" max="242" width="33.421875" style="0" hidden="1" customWidth="1"/>
    <col min="243" max="243" width="31.8515625" style="0" hidden="1" customWidth="1"/>
    <col min="244" max="244" width="36.7109375" style="0" hidden="1" customWidth="1"/>
    <col min="245" max="245" width="34.8515625" style="0" hidden="1" customWidth="1"/>
    <col min="246" max="246" width="26.7109375" style="0" hidden="1" customWidth="1"/>
    <col min="247" max="247" width="31.140625" style="0" hidden="1" customWidth="1"/>
    <col min="248" max="248" width="28.140625" style="0" hidden="1" customWidth="1"/>
    <col min="249" max="249" width="28.7109375" style="0" hidden="1" customWidth="1"/>
    <col min="250" max="250" width="30.8515625" style="0" hidden="1" customWidth="1"/>
    <col min="251" max="251" width="24.421875" style="0" hidden="1" customWidth="1"/>
    <col min="252" max="252" width="26.00390625" style="0" hidden="1" customWidth="1"/>
    <col min="253" max="253" width="26.8515625" style="0" hidden="1" customWidth="1"/>
    <col min="254" max="254" width="27.00390625" style="0" hidden="1" customWidth="1"/>
    <col min="255" max="255" width="0" style="0" hidden="1" customWidth="1"/>
  </cols>
  <sheetData>
    <row r="1" spans="1:256" s="4" customFormat="1" ht="14.25">
      <c r="A1" t="s">
        <v>19</v>
      </c>
      <c r="B1" s="2" t="s">
        <v>94</v>
      </c>
      <c r="C1" t="s">
        <v>321</v>
      </c>
      <c r="D1" t="s">
        <v>82</v>
      </c>
      <c r="E1" t="s">
        <v>127</v>
      </c>
      <c r="F1" t="s">
        <v>135</v>
      </c>
      <c r="G1" t="s">
        <v>128</v>
      </c>
      <c r="H1" t="s">
        <v>322</v>
      </c>
      <c r="I1" t="s">
        <v>124</v>
      </c>
      <c r="J1" t="s">
        <v>312</v>
      </c>
      <c r="K1" t="s">
        <v>60</v>
      </c>
      <c r="L1" t="s">
        <v>293</v>
      </c>
      <c r="M1" t="s">
        <v>7</v>
      </c>
      <c r="N1" t="s">
        <v>245</v>
      </c>
      <c r="O1" t="s">
        <v>239</v>
      </c>
      <c r="P1" t="s">
        <v>81</v>
      </c>
      <c r="Q1" s="6" t="s">
        <v>40</v>
      </c>
      <c r="R1" s="6" t="s">
        <v>205</v>
      </c>
      <c r="S1" s="6" t="s">
        <v>153</v>
      </c>
      <c r="T1" t="s">
        <v>193</v>
      </c>
      <c r="U1" t="s">
        <v>52</v>
      </c>
      <c r="V1" t="s">
        <v>281</v>
      </c>
      <c r="W1" t="s">
        <v>42</v>
      </c>
      <c r="X1" t="s">
        <v>241</v>
      </c>
      <c r="Y1" t="s">
        <v>70</v>
      </c>
      <c r="Z1" t="s">
        <v>178</v>
      </c>
      <c r="AA1" t="s">
        <v>318</v>
      </c>
      <c r="AB1" t="s">
        <v>317</v>
      </c>
      <c r="AC1" t="s">
        <v>151</v>
      </c>
      <c r="AD1" t="s">
        <v>10</v>
      </c>
      <c r="AE1" t="s">
        <v>266</v>
      </c>
      <c r="AF1" t="s">
        <v>177</v>
      </c>
      <c r="AG1" t="s">
        <v>226</v>
      </c>
      <c r="AH1" t="s">
        <v>320</v>
      </c>
      <c r="AI1" t="s">
        <v>211</v>
      </c>
      <c r="AJ1" s="6" t="s">
        <v>51</v>
      </c>
      <c r="AK1" t="s">
        <v>111</v>
      </c>
      <c r="AL1" s="8" t="s">
        <v>165</v>
      </c>
      <c r="AM1" s="6" t="s">
        <v>2</v>
      </c>
      <c r="AN1" s="8" t="s">
        <v>262</v>
      </c>
      <c r="AO1" t="s">
        <v>99</v>
      </c>
      <c r="AP1" t="s">
        <v>319</v>
      </c>
      <c r="AQ1" t="s">
        <v>29</v>
      </c>
      <c r="AR1" t="s">
        <v>313</v>
      </c>
      <c r="AS1" t="s">
        <v>9</v>
      </c>
      <c r="AT1" t="s">
        <v>107</v>
      </c>
      <c r="AU1" t="s">
        <v>279</v>
      </c>
      <c r="AV1" t="s">
        <v>8</v>
      </c>
      <c r="AW1" t="s">
        <v>256</v>
      </c>
      <c r="AX1" t="s">
        <v>224</v>
      </c>
      <c r="AY1" t="s">
        <v>154</v>
      </c>
      <c r="AZ1" t="s">
        <v>26</v>
      </c>
      <c r="BA1" t="s">
        <v>265</v>
      </c>
      <c r="BB1" t="s">
        <v>15</v>
      </c>
      <c r="BC1" t="s">
        <v>221</v>
      </c>
      <c r="BD1" t="s">
        <v>223</v>
      </c>
      <c r="BE1" t="s">
        <v>87</v>
      </c>
      <c r="BF1" t="s">
        <v>176</v>
      </c>
      <c r="BG1" t="s">
        <v>11</v>
      </c>
      <c r="BH1" t="s">
        <v>119</v>
      </c>
      <c r="BI1" t="s">
        <v>289</v>
      </c>
      <c r="BJ1" t="s">
        <v>62</v>
      </c>
      <c r="BK1" t="s">
        <v>16</v>
      </c>
      <c r="BL1" t="s">
        <v>283</v>
      </c>
      <c r="BM1" t="s">
        <v>34</v>
      </c>
      <c r="BN1" t="s">
        <v>253</v>
      </c>
      <c r="BO1" t="s">
        <v>210</v>
      </c>
      <c r="BP1" t="s">
        <v>71</v>
      </c>
      <c r="BQ1" t="s">
        <v>138</v>
      </c>
      <c r="BR1" s="5" t="s">
        <v>174</v>
      </c>
      <c r="BS1" s="6" t="s">
        <v>263</v>
      </c>
      <c r="BT1" t="s">
        <v>229</v>
      </c>
      <c r="BU1" t="s">
        <v>316</v>
      </c>
      <c r="BV1" t="s">
        <v>144</v>
      </c>
      <c r="BW1" t="s">
        <v>297</v>
      </c>
      <c r="BX1" t="s">
        <v>288</v>
      </c>
      <c r="BY1" t="s">
        <v>310</v>
      </c>
      <c r="BZ1" t="s">
        <v>273</v>
      </c>
      <c r="CA1" s="6" t="s">
        <v>238</v>
      </c>
      <c r="CB1" s="6" t="s">
        <v>112</v>
      </c>
      <c r="CC1" t="s">
        <v>329</v>
      </c>
      <c r="CD1" s="7" t="s">
        <v>156</v>
      </c>
      <c r="CE1" s="7" t="s">
        <v>271</v>
      </c>
      <c r="CF1" s="7" t="s">
        <v>315</v>
      </c>
      <c r="CG1" s="7" t="s">
        <v>97</v>
      </c>
      <c r="CH1" t="s">
        <v>143</v>
      </c>
      <c r="CI1" t="s">
        <v>218</v>
      </c>
      <c r="CJ1" t="s">
        <v>204</v>
      </c>
      <c r="CK1" t="s">
        <v>44</v>
      </c>
      <c r="CL1" t="s">
        <v>159</v>
      </c>
      <c r="CM1" t="s">
        <v>56</v>
      </c>
      <c r="CN1" t="s">
        <v>196</v>
      </c>
      <c r="CO1" t="s">
        <v>37</v>
      </c>
      <c r="CP1" t="s">
        <v>268</v>
      </c>
      <c r="CQ1" s="7" t="s">
        <v>163</v>
      </c>
      <c r="CR1" t="s">
        <v>272</v>
      </c>
      <c r="CS1" t="s">
        <v>328</v>
      </c>
      <c r="CT1" t="s">
        <v>61</v>
      </c>
      <c r="CU1" t="s">
        <v>83</v>
      </c>
      <c r="CV1" s="6" t="s">
        <v>86</v>
      </c>
      <c r="CW1" s="6" t="s">
        <v>48</v>
      </c>
      <c r="CX1" s="6" t="s">
        <v>27</v>
      </c>
      <c r="CY1" s="6" t="s">
        <v>291</v>
      </c>
      <c r="CZ1" s="6" t="s">
        <v>110</v>
      </c>
      <c r="DA1" s="6" t="s">
        <v>331</v>
      </c>
      <c r="DB1" s="6" t="s">
        <v>292</v>
      </c>
      <c r="DC1" t="s">
        <v>192</v>
      </c>
      <c r="DD1" t="s">
        <v>47</v>
      </c>
      <c r="DE1" t="s">
        <v>183</v>
      </c>
      <c r="DF1" t="s">
        <v>212</v>
      </c>
      <c r="DG1" t="s">
        <v>139</v>
      </c>
      <c r="DH1" t="s">
        <v>255</v>
      </c>
      <c r="DI1" t="s">
        <v>74</v>
      </c>
      <c r="DJ1" t="s">
        <v>41</v>
      </c>
      <c r="DK1" t="s">
        <v>46</v>
      </c>
      <c r="DL1" t="s">
        <v>140</v>
      </c>
      <c r="DM1" t="s">
        <v>146</v>
      </c>
      <c r="DN1" t="s">
        <v>168</v>
      </c>
      <c r="DO1" t="s">
        <v>220</v>
      </c>
      <c r="DP1" t="s">
        <v>307</v>
      </c>
      <c r="DQ1" t="s">
        <v>54</v>
      </c>
      <c r="DR1" t="s">
        <v>137</v>
      </c>
      <c r="DS1" t="s">
        <v>326</v>
      </c>
      <c r="DT1" t="s">
        <v>167</v>
      </c>
      <c r="DU1" t="s">
        <v>145</v>
      </c>
      <c r="DV1" t="s">
        <v>142</v>
      </c>
      <c r="DW1" t="s">
        <v>325</v>
      </c>
      <c r="DX1" t="s">
        <v>59</v>
      </c>
      <c r="DY1" t="s">
        <v>161</v>
      </c>
      <c r="DZ1" t="s">
        <v>171</v>
      </c>
      <c r="EA1" t="s">
        <v>147</v>
      </c>
      <c r="EB1" t="s">
        <v>278</v>
      </c>
      <c r="EC1" t="s">
        <v>308</v>
      </c>
      <c r="ED1" t="s">
        <v>49</v>
      </c>
      <c r="EE1" t="s">
        <v>18</v>
      </c>
      <c r="EF1" t="s">
        <v>182</v>
      </c>
      <c r="EG1" t="s">
        <v>14</v>
      </c>
      <c r="EH1" t="s">
        <v>17</v>
      </c>
      <c r="EI1" t="s">
        <v>118</v>
      </c>
      <c r="EJ1" t="s">
        <v>121</v>
      </c>
      <c r="EK1" t="s">
        <v>222</v>
      </c>
      <c r="EL1" t="s">
        <v>301</v>
      </c>
      <c r="EM1" t="s">
        <v>158</v>
      </c>
      <c r="EN1" t="s">
        <v>53</v>
      </c>
      <c r="EO1" t="s">
        <v>134</v>
      </c>
      <c r="EP1" t="s">
        <v>68</v>
      </c>
      <c r="EQ1" t="s">
        <v>236</v>
      </c>
      <c r="ER1" t="s">
        <v>100</v>
      </c>
      <c r="ES1" t="s">
        <v>133</v>
      </c>
      <c r="ET1" t="s">
        <v>25</v>
      </c>
      <c r="EU1" t="s">
        <v>4</v>
      </c>
      <c r="EV1" t="s">
        <v>20</v>
      </c>
      <c r="EW1" t="s">
        <v>267</v>
      </c>
      <c r="EX1" t="s">
        <v>198</v>
      </c>
      <c r="EY1" t="s">
        <v>36</v>
      </c>
      <c r="EZ1" t="s">
        <v>314</v>
      </c>
      <c r="FA1" t="s">
        <v>233</v>
      </c>
      <c r="FB1" t="s">
        <v>195</v>
      </c>
      <c r="FC1" t="s">
        <v>13</v>
      </c>
      <c r="FD1" t="s">
        <v>84</v>
      </c>
      <c r="FE1" t="s">
        <v>89</v>
      </c>
      <c r="FF1" t="s">
        <v>185</v>
      </c>
      <c r="FG1" t="s">
        <v>188</v>
      </c>
      <c r="FH1" t="s">
        <v>323</v>
      </c>
      <c r="FI1" t="s">
        <v>227</v>
      </c>
      <c r="FJ1" t="s">
        <v>126</v>
      </c>
      <c r="FK1" t="s">
        <v>213</v>
      </c>
      <c r="FL1" t="s">
        <v>247</v>
      </c>
      <c r="FM1" t="s">
        <v>3</v>
      </c>
      <c r="FN1" t="s">
        <v>250</v>
      </c>
      <c r="FO1" t="s">
        <v>306</v>
      </c>
      <c r="FP1" t="s">
        <v>172</v>
      </c>
      <c r="FQ1" t="s">
        <v>45</v>
      </c>
      <c r="FR1" t="s">
        <v>242</v>
      </c>
      <c r="FS1" t="s">
        <v>290</v>
      </c>
      <c r="FT1" t="s">
        <v>202</v>
      </c>
      <c r="FU1" t="s">
        <v>285</v>
      </c>
      <c r="FV1" t="s">
        <v>88</v>
      </c>
      <c r="FW1" t="s">
        <v>69</v>
      </c>
      <c r="FX1" t="s">
        <v>330</v>
      </c>
      <c r="FY1" t="s">
        <v>120</v>
      </c>
      <c r="FZ1" t="s">
        <v>269</v>
      </c>
      <c r="GA1" t="s">
        <v>249</v>
      </c>
      <c r="GB1" t="s">
        <v>30</v>
      </c>
      <c r="GC1" t="s">
        <v>311</v>
      </c>
      <c r="GD1" t="s">
        <v>116</v>
      </c>
      <c r="GE1" t="s">
        <v>280</v>
      </c>
      <c r="GF1" t="s">
        <v>276</v>
      </c>
      <c r="GG1" t="s">
        <v>208</v>
      </c>
      <c r="GH1" t="s">
        <v>181</v>
      </c>
      <c r="GI1" t="s">
        <v>105</v>
      </c>
      <c r="GJ1" t="s">
        <v>57</v>
      </c>
      <c r="GK1" t="s">
        <v>152</v>
      </c>
      <c r="GL1" t="s">
        <v>173</v>
      </c>
      <c r="GM1" t="s">
        <v>80</v>
      </c>
      <c r="GN1" t="s">
        <v>125</v>
      </c>
      <c r="GO1" t="s">
        <v>186</v>
      </c>
      <c r="GP1" t="s">
        <v>162</v>
      </c>
      <c r="GQ1" t="s">
        <v>261</v>
      </c>
      <c r="GR1" t="s">
        <v>73</v>
      </c>
      <c r="GS1" t="s">
        <v>28</v>
      </c>
      <c r="GT1" t="s">
        <v>209</v>
      </c>
      <c r="GU1" t="s">
        <v>215</v>
      </c>
      <c r="GV1" t="s">
        <v>257</v>
      </c>
      <c r="GW1" t="s">
        <v>38</v>
      </c>
      <c r="GX1" t="s">
        <v>230</v>
      </c>
      <c r="GY1" t="s">
        <v>287</v>
      </c>
      <c r="GZ1" t="s">
        <v>219</v>
      </c>
      <c r="HA1" t="s">
        <v>270</v>
      </c>
      <c r="HB1" t="s">
        <v>157</v>
      </c>
      <c r="HC1" t="s">
        <v>252</v>
      </c>
      <c r="HD1" t="s">
        <v>136</v>
      </c>
      <c r="HE1" t="s">
        <v>189</v>
      </c>
      <c r="HF1" t="s">
        <v>246</v>
      </c>
      <c r="HG1" t="s">
        <v>115</v>
      </c>
      <c r="HH1" t="s">
        <v>235</v>
      </c>
      <c r="HI1" t="s">
        <v>93</v>
      </c>
      <c r="HJ1" t="s">
        <v>225</v>
      </c>
      <c r="HK1" t="s">
        <v>199</v>
      </c>
      <c r="HL1" t="s">
        <v>251</v>
      </c>
      <c r="HM1" t="s">
        <v>63</v>
      </c>
      <c r="HN1" t="s">
        <v>166</v>
      </c>
      <c r="HO1" t="s">
        <v>76</v>
      </c>
      <c r="HP1" t="s">
        <v>106</v>
      </c>
      <c r="HQ1" t="s">
        <v>197</v>
      </c>
      <c r="HR1" t="s">
        <v>91</v>
      </c>
      <c r="HS1" t="s">
        <v>170</v>
      </c>
      <c r="HT1" t="s">
        <v>175</v>
      </c>
      <c r="HU1" t="s">
        <v>21</v>
      </c>
      <c r="HV1" t="s">
        <v>295</v>
      </c>
      <c r="HW1" t="s">
        <v>24</v>
      </c>
      <c r="HX1" t="s">
        <v>228</v>
      </c>
      <c r="HY1" t="s">
        <v>231</v>
      </c>
      <c r="HZ1" t="s">
        <v>258</v>
      </c>
      <c r="IA1" t="s">
        <v>243</v>
      </c>
      <c r="IB1" t="s">
        <v>286</v>
      </c>
      <c r="IC1" t="s">
        <v>33</v>
      </c>
      <c r="ID1" t="s">
        <v>32</v>
      </c>
      <c r="IE1" t="s">
        <v>248</v>
      </c>
      <c r="IF1" t="s">
        <v>78</v>
      </c>
      <c r="IG1" t="s">
        <v>95</v>
      </c>
      <c r="IH1" t="s">
        <v>131</v>
      </c>
      <c r="II1" t="s">
        <v>217</v>
      </c>
      <c r="IJ1" t="s">
        <v>237</v>
      </c>
      <c r="IK1" t="s">
        <v>305</v>
      </c>
      <c r="IL1" t="s">
        <v>65</v>
      </c>
      <c r="IM1" t="s">
        <v>5</v>
      </c>
      <c r="IN1" t="s">
        <v>90</v>
      </c>
      <c r="IO1" t="s">
        <v>148</v>
      </c>
      <c r="IP1" t="s">
        <v>275</v>
      </c>
      <c r="IQ1" t="s">
        <v>122</v>
      </c>
      <c r="IR1" t="s">
        <v>109</v>
      </c>
      <c r="IS1" t="s">
        <v>58</v>
      </c>
      <c r="IT1" t="s">
        <v>234</v>
      </c>
      <c r="IU1" t="s">
        <v>75</v>
      </c>
      <c r="IV1" s="153" t="s">
        <v>339</v>
      </c>
    </row>
    <row r="2" spans="17:256" ht="12.75">
      <c r="Q2" t="s">
        <v>332</v>
      </c>
      <c r="R2" t="s">
        <v>304</v>
      </c>
      <c r="S2" s="3">
        <v>33201</v>
      </c>
      <c r="AJ2" s="3">
        <v>42736</v>
      </c>
      <c r="AL2">
        <v>2735</v>
      </c>
      <c r="AM2">
        <v>100</v>
      </c>
      <c r="AN2">
        <v>35445</v>
      </c>
      <c r="BS2" t="s">
        <v>179</v>
      </c>
      <c r="CA2" t="s">
        <v>284</v>
      </c>
      <c r="CB2" s="3">
        <v>31364</v>
      </c>
      <c r="CQ2">
        <v>1</v>
      </c>
      <c r="CV2" s="3">
        <v>42736</v>
      </c>
      <c r="CW2">
        <v>13122</v>
      </c>
      <c r="CX2">
        <v>13122</v>
      </c>
      <c r="CY2">
        <v>35445</v>
      </c>
      <c r="CZ2">
        <v>22323</v>
      </c>
      <c r="DB2">
        <v>67</v>
      </c>
      <c r="IV2">
        <v>0</v>
      </c>
    </row>
    <row r="4" ht="12.75">
      <c r="S4" s="3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N109"/>
  <sheetViews>
    <sheetView tabSelected="1" zoomScale="91" zoomScaleNormal="91" zoomScalePageLayoutView="0" workbookViewId="0" topLeftCell="A1">
      <selection activeCell="E35" sqref="E35"/>
    </sheetView>
  </sheetViews>
  <sheetFormatPr defaultColWidth="9.140625" defaultRowHeight="12.75"/>
  <cols>
    <col min="1" max="1" width="34.421875" style="0" customWidth="1"/>
    <col min="2" max="5" width="13.8515625" style="0" customWidth="1"/>
    <col min="6" max="6" width="15.57421875" style="0" customWidth="1"/>
    <col min="7" max="10" width="15.7109375" style="0" customWidth="1"/>
    <col min="11" max="12" width="15.7109375" style="9" customWidth="1"/>
    <col min="13" max="18" width="15.7109375" style="13" customWidth="1"/>
    <col min="19" max="19" width="15.7109375" style="16" customWidth="1"/>
    <col min="20" max="52" width="15.7109375" style="0" customWidth="1"/>
    <col min="53" max="53" width="16.8515625" style="0" customWidth="1"/>
    <col min="54" max="58" width="15.7109375" style="0" customWidth="1"/>
    <col min="59" max="59" width="12.57421875" style="57" customWidth="1"/>
  </cols>
  <sheetData>
    <row r="1" spans="1:59" ht="12.75">
      <c r="A1" s="50" t="s">
        <v>129</v>
      </c>
      <c r="B1" s="54" t="s">
        <v>96</v>
      </c>
      <c r="F1">
        <v>67</v>
      </c>
      <c r="R1" s="13">
        <v>66</v>
      </c>
      <c r="BC1">
        <v>4</v>
      </c>
      <c r="BE1" s="17">
        <f>BC1/100</f>
        <v>0.04</v>
      </c>
      <c r="BF1" s="4">
        <f>100+BC1</f>
        <v>104</v>
      </c>
      <c r="BG1" s="57">
        <v>1000</v>
      </c>
    </row>
    <row r="2" spans="1:60" ht="12.75">
      <c r="A2" s="51">
        <f>input_geboortedatum</f>
        <v>33201</v>
      </c>
      <c r="B2" s="55">
        <f>ROUND((((YEAR(A4)-YEAR(A2))-1)+((MONTH(A4)-MONTH(A2))+12)/12),2)</f>
        <v>26.17</v>
      </c>
      <c r="BG2" s="57">
        <v>104</v>
      </c>
      <c r="BH2">
        <v>104</v>
      </c>
    </row>
    <row r="3" spans="1:60" ht="12.75">
      <c r="A3" s="52" t="s">
        <v>180</v>
      </c>
      <c r="B3" s="56">
        <f>FLOOR(B2,1)</f>
        <v>26</v>
      </c>
      <c r="C3" t="s">
        <v>260</v>
      </c>
      <c r="BG3" s="57">
        <f>BG1*BG2</f>
        <v>104000</v>
      </c>
      <c r="BH3">
        <v>105</v>
      </c>
    </row>
    <row r="4" spans="1:60" ht="12.75">
      <c r="A4" s="53">
        <v>42736</v>
      </c>
      <c r="BG4" s="98">
        <v>1.05</v>
      </c>
      <c r="BH4">
        <f>BH2*BH3</f>
        <v>10920</v>
      </c>
    </row>
    <row r="5" ht="12.75">
      <c r="BG5" s="57">
        <f>BG3*BG4</f>
        <v>109200</v>
      </c>
    </row>
    <row r="6" spans="1:2" ht="13.5" thickBot="1">
      <c r="A6" t="s">
        <v>103</v>
      </c>
      <c r="B6">
        <v>67</v>
      </c>
    </row>
    <row r="7" spans="1:2" ht="13.5" thickBot="1">
      <c r="A7" t="s">
        <v>103</v>
      </c>
      <c r="B7" s="68">
        <f>B6-B3</f>
        <v>41</v>
      </c>
    </row>
    <row r="8" spans="6:57" ht="19.5" customHeight="1">
      <c r="F8" s="137" t="s">
        <v>337</v>
      </c>
      <c r="G8" s="135">
        <v>5.5</v>
      </c>
      <c r="H8" s="136">
        <f>$E$50</f>
        <v>6.3</v>
      </c>
      <c r="I8" s="136">
        <f aca="true" t="shared" si="0" ref="I8:AM8">$E$50</f>
        <v>6.3</v>
      </c>
      <c r="J8" s="136">
        <f t="shared" si="0"/>
        <v>6.3</v>
      </c>
      <c r="K8" s="136">
        <f t="shared" si="0"/>
        <v>6.3</v>
      </c>
      <c r="L8" s="136">
        <f t="shared" si="0"/>
        <v>6.3</v>
      </c>
      <c r="M8" s="136">
        <f t="shared" si="0"/>
        <v>6.3</v>
      </c>
      <c r="N8" s="136">
        <f t="shared" si="0"/>
        <v>6.3</v>
      </c>
      <c r="O8" s="136">
        <f t="shared" si="0"/>
        <v>6.3</v>
      </c>
      <c r="P8" s="136">
        <f t="shared" si="0"/>
        <v>6.3</v>
      </c>
      <c r="Q8" s="136">
        <f t="shared" si="0"/>
        <v>6.3</v>
      </c>
      <c r="R8" s="136">
        <f t="shared" si="0"/>
        <v>6.3</v>
      </c>
      <c r="S8" s="136">
        <f t="shared" si="0"/>
        <v>6.3</v>
      </c>
      <c r="T8" s="136">
        <f t="shared" si="0"/>
        <v>6.3</v>
      </c>
      <c r="U8" s="136">
        <f t="shared" si="0"/>
        <v>6.3</v>
      </c>
      <c r="V8" s="136">
        <f t="shared" si="0"/>
        <v>6.3</v>
      </c>
      <c r="W8" s="136">
        <f t="shared" si="0"/>
        <v>6.3</v>
      </c>
      <c r="X8" s="136">
        <f t="shared" si="0"/>
        <v>6.3</v>
      </c>
      <c r="Y8" s="136">
        <f t="shared" si="0"/>
        <v>6.3</v>
      </c>
      <c r="Z8" s="136">
        <f t="shared" si="0"/>
        <v>6.3</v>
      </c>
      <c r="AA8" s="136">
        <f t="shared" si="0"/>
        <v>6.3</v>
      </c>
      <c r="AB8" s="136">
        <f t="shared" si="0"/>
        <v>6.3</v>
      </c>
      <c r="AC8" s="136">
        <f t="shared" si="0"/>
        <v>6.3</v>
      </c>
      <c r="AD8" s="136">
        <f t="shared" si="0"/>
        <v>6.3</v>
      </c>
      <c r="AE8" s="136">
        <f t="shared" si="0"/>
        <v>6.3</v>
      </c>
      <c r="AF8" s="136">
        <f t="shared" si="0"/>
        <v>6.3</v>
      </c>
      <c r="AG8" s="136">
        <f t="shared" si="0"/>
        <v>6.3</v>
      </c>
      <c r="AH8" s="136">
        <f t="shared" si="0"/>
        <v>6.3</v>
      </c>
      <c r="AI8" s="136">
        <f t="shared" si="0"/>
        <v>6.3</v>
      </c>
      <c r="AJ8" s="136">
        <f t="shared" si="0"/>
        <v>6.3</v>
      </c>
      <c r="AK8" s="136">
        <f t="shared" si="0"/>
        <v>6.3</v>
      </c>
      <c r="AL8" s="136">
        <f t="shared" si="0"/>
        <v>6.3</v>
      </c>
      <c r="AM8" s="136">
        <f t="shared" si="0"/>
        <v>6.3</v>
      </c>
      <c r="AN8" s="136">
        <f>E57</f>
        <v>5.6</v>
      </c>
      <c r="AO8" s="136">
        <f>E58</f>
        <v>4.6</v>
      </c>
      <c r="AP8" s="136">
        <f>E59</f>
        <v>4.6</v>
      </c>
      <c r="AQ8" s="136">
        <f>E60</f>
        <v>4.6</v>
      </c>
      <c r="AR8" s="136">
        <f>E61</f>
        <v>4.6</v>
      </c>
      <c r="AS8" s="136">
        <f>E62</f>
        <v>4.6</v>
      </c>
      <c r="AT8" s="136">
        <f>E63</f>
        <v>1</v>
      </c>
      <c r="AU8" s="136">
        <f>E64</f>
        <v>1</v>
      </c>
      <c r="AV8" s="136">
        <f>E65</f>
        <v>1</v>
      </c>
      <c r="AW8" s="136">
        <f>E66</f>
        <v>1</v>
      </c>
      <c r="AX8" s="136">
        <f>E67</f>
        <v>1</v>
      </c>
      <c r="AY8" s="136">
        <f>E68</f>
        <v>1</v>
      </c>
      <c r="AZ8" s="136">
        <f>E69</f>
        <v>1</v>
      </c>
      <c r="BA8" s="136">
        <f>E70</f>
        <v>1</v>
      </c>
      <c r="BB8" s="136">
        <f>E71</f>
        <v>1</v>
      </c>
      <c r="BC8" s="136">
        <f>E72</f>
        <v>1</v>
      </c>
      <c r="BD8" s="136">
        <f>E72</f>
        <v>1</v>
      </c>
      <c r="BE8">
        <v>100</v>
      </c>
    </row>
    <row r="9" spans="1:56" ht="19.5" customHeight="1">
      <c r="A9" t="s">
        <v>55</v>
      </c>
      <c r="B9">
        <f ca="1">(TODAY()-A2)/365.25</f>
        <v>29.503080082135522</v>
      </c>
      <c r="G9" s="126">
        <f aca="true" t="shared" si="1" ref="G9:AL9">($BE$11+G8)/100</f>
        <v>1.055</v>
      </c>
      <c r="H9" s="126">
        <f t="shared" si="1"/>
        <v>1.063</v>
      </c>
      <c r="I9" s="126">
        <f t="shared" si="1"/>
        <v>1.063</v>
      </c>
      <c r="J9" s="126">
        <f t="shared" si="1"/>
        <v>1.063</v>
      </c>
      <c r="K9" s="126">
        <f t="shared" si="1"/>
        <v>1.063</v>
      </c>
      <c r="L9" s="126">
        <f t="shared" si="1"/>
        <v>1.063</v>
      </c>
      <c r="M9" s="126">
        <f t="shared" si="1"/>
        <v>1.063</v>
      </c>
      <c r="N9" s="126">
        <f t="shared" si="1"/>
        <v>1.063</v>
      </c>
      <c r="O9" s="126">
        <f t="shared" si="1"/>
        <v>1.063</v>
      </c>
      <c r="P9" s="126">
        <f t="shared" si="1"/>
        <v>1.063</v>
      </c>
      <c r="Q9" s="126">
        <f t="shared" si="1"/>
        <v>1.063</v>
      </c>
      <c r="R9" s="126">
        <f t="shared" si="1"/>
        <v>1.063</v>
      </c>
      <c r="S9" s="126">
        <f t="shared" si="1"/>
        <v>1.063</v>
      </c>
      <c r="T9" s="126">
        <f t="shared" si="1"/>
        <v>1.063</v>
      </c>
      <c r="U9" s="126">
        <f t="shared" si="1"/>
        <v>1.063</v>
      </c>
      <c r="V9" s="126">
        <f t="shared" si="1"/>
        <v>1.063</v>
      </c>
      <c r="W9" s="126">
        <f t="shared" si="1"/>
        <v>1.063</v>
      </c>
      <c r="X9" s="126">
        <f t="shared" si="1"/>
        <v>1.063</v>
      </c>
      <c r="Y9" s="126">
        <f t="shared" si="1"/>
        <v>1.063</v>
      </c>
      <c r="Z9" s="126">
        <f t="shared" si="1"/>
        <v>1.063</v>
      </c>
      <c r="AA9" s="126">
        <f t="shared" si="1"/>
        <v>1.063</v>
      </c>
      <c r="AB9" s="126">
        <f t="shared" si="1"/>
        <v>1.063</v>
      </c>
      <c r="AC9" s="126">
        <f t="shared" si="1"/>
        <v>1.063</v>
      </c>
      <c r="AD9" s="126">
        <f t="shared" si="1"/>
        <v>1.063</v>
      </c>
      <c r="AE9" s="126">
        <f t="shared" si="1"/>
        <v>1.063</v>
      </c>
      <c r="AF9" s="126">
        <f t="shared" si="1"/>
        <v>1.063</v>
      </c>
      <c r="AG9" s="126">
        <f t="shared" si="1"/>
        <v>1.063</v>
      </c>
      <c r="AH9" s="126">
        <f t="shared" si="1"/>
        <v>1.063</v>
      </c>
      <c r="AI9" s="126">
        <f t="shared" si="1"/>
        <v>1.063</v>
      </c>
      <c r="AJ9" s="126">
        <f t="shared" si="1"/>
        <v>1.063</v>
      </c>
      <c r="AK9" s="126">
        <f t="shared" si="1"/>
        <v>1.063</v>
      </c>
      <c r="AL9" s="126">
        <f t="shared" si="1"/>
        <v>1.063</v>
      </c>
      <c r="AM9" s="126">
        <f aca="true" t="shared" si="2" ref="AM9:BD9">($BE$11+AM8)/100</f>
        <v>1.063</v>
      </c>
      <c r="AN9" s="127">
        <f t="shared" si="2"/>
        <v>1.056</v>
      </c>
      <c r="AO9" s="126">
        <f t="shared" si="2"/>
        <v>1.046</v>
      </c>
      <c r="AP9" s="126">
        <f t="shared" si="2"/>
        <v>1.046</v>
      </c>
      <c r="AQ9" s="126">
        <f t="shared" si="2"/>
        <v>1.046</v>
      </c>
      <c r="AR9" s="126">
        <f t="shared" si="2"/>
        <v>1.046</v>
      </c>
      <c r="AS9" s="126">
        <f t="shared" si="2"/>
        <v>1.046</v>
      </c>
      <c r="AT9" s="126">
        <f t="shared" si="2"/>
        <v>1.01</v>
      </c>
      <c r="AU9" s="126">
        <f t="shared" si="2"/>
        <v>1.01</v>
      </c>
      <c r="AV9" s="126">
        <f t="shared" si="2"/>
        <v>1.01</v>
      </c>
      <c r="AW9" s="126">
        <f t="shared" si="2"/>
        <v>1.01</v>
      </c>
      <c r="AX9" s="126">
        <f t="shared" si="2"/>
        <v>1.01</v>
      </c>
      <c r="AY9" s="126">
        <f t="shared" si="2"/>
        <v>1.01</v>
      </c>
      <c r="AZ9" s="126">
        <f t="shared" si="2"/>
        <v>1.01</v>
      </c>
      <c r="BA9" s="126">
        <f t="shared" si="2"/>
        <v>1.01</v>
      </c>
      <c r="BB9" s="126">
        <f t="shared" si="2"/>
        <v>1.01</v>
      </c>
      <c r="BC9" s="126">
        <f t="shared" si="2"/>
        <v>1.01</v>
      </c>
      <c r="BD9" s="126">
        <f t="shared" si="2"/>
        <v>1.01</v>
      </c>
    </row>
    <row r="10" spans="1:56" ht="19.5" customHeight="1">
      <c r="A10" t="s">
        <v>338</v>
      </c>
      <c r="B10">
        <f>ROUNDDOWN(B9,0)</f>
        <v>29</v>
      </c>
      <c r="G10" s="128">
        <f>G9*H9*I9*J9*K9*L9*M9*N9*O9*P9*Q9*R9*S9*T9*U9*V9*W9*X9*Y9*Z9*AA9*AB9*AC9*AD9*AE9*AF9*AG9*AH9*AI9*AJ9*AK9*AL9*AM9*AN9*AO9*AP9*AQ9*AR9*AS9*AT9*AU9*AV9*AW9*AX9*AY9*AZ9*BA9*BB9*BC9</f>
        <v>10.88561582306789</v>
      </c>
      <c r="H10" s="128">
        <f>H9*I9*J9*K9*L9*M9*N9*O9*P9*Q9*R9*S9*T9*U9*V9*W9*X9*Y9*Z9*AA9*AB9*AC9*AD9*AE9*AF9*AG9*AH9*AI9*AJ9*AK9*AL9*AM9*AN9*AO9*AP9*AQ9*AR9*AS9*AT9*AU9*AV9*AW9*AX9*AY9*AZ9*BA9*BB9*BC9</f>
        <v>10.318119263571454</v>
      </c>
      <c r="I10" s="128">
        <f>I9*J9*K9*L9*M9*N9*O9*P9*Q9*R9*S9*T9*U9*V9*W9*X9*Y9*Z9*AA9*AB9*AC9*AD9*AE9*AF9*AG9*AH9*AI9*AJ9*AK9*AL9*AM9*AN9*AO9*AP9*AQ9*AR9*AS9*AT9*AU9*AV9*AW9*AX9*AY9*AZ9*BA9*BB9*BC9</f>
        <v>9.706603258298644</v>
      </c>
      <c r="J10" s="128">
        <f>J9*K9*L9*M9*N9*O9*P9*Q9*R9*S9*T9*U9*V9*W9*X9*Y9*Z9*AA9*AB9*AC9*AD9*AE9*AF9*AG9*AH9*AI9*AJ9*AK9*AL9*AM9*AN9*AO9*AP9*AQ9*AR9*AS9*AT9*AU9*AV9*AW9*AX9*AY9*AZ9*BA9*BB9*BC9</f>
        <v>9.131329499810578</v>
      </c>
      <c r="K10" s="128">
        <f>K9*L9*M9*N9*O9*P9*Q9*R9*S9*T9*U9*V9*W9*X9*Y9*Z9*AA9*AB9*AC9*AD9*AE9*AF9*AG9*AH9*AI9*AJ9*AK9*AL9*AM9*AN9*AO9*AP9*AQ9*AR9*AS9*AT9*AU9*AV9*AW9*AX9*AY9*AZ9*BA9*BB9*BC9</f>
        <v>8.590150046858492</v>
      </c>
      <c r="L10" s="128">
        <f>L9*M9*N9*O9*P9*Q9*R9*S9*T9*U9*V9*W9*X9*Y9*Z9*AA9*AB9*AC9*AD9*AE9*AF9*AG9*AH9*AI9*AJ9*AK9*AL9*AM9*AN9*AO9*AP9*AQ9*AR9*AS9*AT9*AU9*AV9*AW9*AX9*AY9*AZ9*BA9*BB9*BC9</f>
        <v>8.081044258568669</v>
      </c>
      <c r="M10" s="128">
        <f>M9*N9*O9*P9*Q9*R9*S9*T9*U9*V9*W9*X9*Y9*Z9*AA9*AB9*AC9*AD9*AE9*AF9*AG9*AH9*AI9*AJ9*AK9*AL9*AM9*AN9*AO9*AP9*AQ9*AR9*AS9*AT9*AU9*AV9*AW9*AX9*AY9*AZ9*BA9*BB9*BC9</f>
        <v>7.602111249829415</v>
      </c>
      <c r="N10" s="128">
        <f>N9*O9*P9*Q9*R9*S9*T9*U9*V9*W9*X9*Y9*Z9*AA9*AB9*AC9*AD9*AE9*AF9*AG9*AH9*AI9*AJ9*AK9*AL9*AM9*AN9*AO9*AP9*AQ9*AR9*AS9*AT9*AU9*AV9*AW9*AX9*AY9*AZ9*BA9*BB9*BC9*BC9</f>
        <v>7.223078421757017</v>
      </c>
      <c r="O10" s="128">
        <f>O9*P9*Q9*R9*S9*T9*U9*V9*W9*X9*Y9*Z9*AA9*AB9*AC9*AD9*AE9*AF9*AG9*AH9*AI9*AJ9*AK9*AL9*AM9*AN9*AO9*AP9*AQ9*AR9*AS9*AT9*AU9*AV9*AW9*AX9*AY9*AZ9*BA9*BB9*BC9</f>
        <v>6.727716645172935</v>
      </c>
      <c r="P10" s="128">
        <f>P9*Q9*R9*S9*T9*U9*V9*W9*X9*Y9*Z9*AA9*AB9*AC9*AD9*AE9*AF9*AG9*AH9*AI9*AJ9*AK9*AL9*AM9*AN9*AO9*AP9*AQ9*AR9*AS9*AT9*AU9*AV9*AW9*AX9*AY9*AZ9*BA9*BB9*BC9</f>
        <v>6.328990258864473</v>
      </c>
      <c r="Q10" s="128">
        <f>Q9*R9*S9*T9*U9*V9*W9*X9*Y9*Z9*AA9*AB9*AC9*AD9*AE9*AF9*AG9*AH9*AI9*AJ9*AK9*AL9*AM9*AN9*AO9*AP9*AQ9*AR9*AS9*AT9*AU9*AV9*AW9*AX9*AY9*AZ9*BA9*BB9*BC9</f>
        <v>5.953894881340051</v>
      </c>
      <c r="R10" s="128">
        <f>R9*S9*T9*U9*V9*W9*X9*Y9*Z9*AA9*AB9*AC9*AD9*AE9*AF9*AG9*AH9*AI9*AJ9*AK9*AL9*AM9*AN9*AO9*AP9*AQ9*AR9*AS9*AT9*AU9*AV9*AW9*AX9*AY9*AZ9*BA9*BB9*BC9</f>
        <v>5.6010299918532915</v>
      </c>
      <c r="S10" s="128">
        <f>S9*T9*U9*V9*W9*X9*Y9*Z9*AA9*AB9*AC9*AD9*AE9*AF9*AG9*AH9*AI9*AJ9*AK9*AL9*AM9*AN9*AO9*AP9*AQ9*AR9*AS9*AT9*AU9*AV9*AW9*AX9*AY9*AZ9*BA9*BB9*BC9*BC9</f>
        <v>5.321768853971616</v>
      </c>
      <c r="T10" s="128">
        <f>T9*U9*V9*W9*X9*Y9*Z9*AA9*AB9*AC9*AD9*AE9*AF9*AG9*AH9*AI9*AJ9*AK9*AL9*AM9*AN9*AO9*AP9*AQ9*AR9*AS9*AT9*AU9*AV9*AW9*AX9*AY9*AZ9*BA9*BB9*BC9</f>
        <v>4.9567996926051014</v>
      </c>
      <c r="U10" s="128">
        <f>U9*V9*W9*X9*Y9*Z9*AA9*AB9*AC9*AD9*AE9*AF9*AG9*AH9*AI9*AJ9*AK9*AL9*AM9*AN9*AO9*AP9*AQ9*AR9*AS9*AT9*AU9*AV9*AW9*AX9*AY9*AZ9*BA9*BB9*BC9</f>
        <v>4.663028873570182</v>
      </c>
      <c r="V10" s="128">
        <f>V9*W9*X9*Y9*Z9*AA9*AB9*AC9*AD9*AE9*AF9*AG9*AH9*AI9*AJ9*AK9*AL9*AM9*AN9*AO9*AP9*AQ9*AR9*AS9*AT9*AU9*AV9*AW9*AX9*AY9*AZ9*BA9*BB9*BC9</f>
        <v>4.386668742775334</v>
      </c>
      <c r="W10" s="128">
        <f>W9*X9*Y9*Z9*AA9*AB9*AC9*AD9*AE9*AF9*AG9*AH9*AI9*AJ9*AK9*AL9*AM9*AN9*AO9*AP9*AQ9*AR9*AS9*AT9*AU9*AV9*AW9*AX9*AY9*AZ9*BA9*BB9*BC9</f>
        <v>4.126687434407653</v>
      </c>
      <c r="X10" s="128">
        <f>X9*Y9*Z9*AA9*AB9*AC9*AD9*AE9*AF9*AG9*AH9*AI9*AJ9*AK9*AL9*AM9*AN9*AO9*AP9*AQ9*AR9*AS9*AT9*AU9*AV9*AW9*AX9*AY9*AZ9*BA9*BB9*BC9</f>
        <v>3.8821142374484032</v>
      </c>
      <c r="Y10" s="128">
        <f>Y9*Z9*AA9*AB9*AC9*AD9*AE9*AF9*AG9*AH9*AI9*AJ9*AK9*AL9*AM9*AN9*AO9*AP9*AQ9*AR9*AS9*AT9*AU9*AV9*AW9*AX9*AY9*AZ9*BA9*BB9*BC9</f>
        <v>3.6520359712590817</v>
      </c>
      <c r="Z10" s="128">
        <f>Z9*AA9*AB9*AC9*AD9*AE9*AF9*AG9*AH9*AI9*AJ9*AK9*AL9*AM9*AN9*AO9*AP9*AQ9*AR9*AS9*AT9*AU9*AV9*AW9*AX9*AY9*AZ9*BA9*BB9*BC9</f>
        <v>3.4355935759727956</v>
      </c>
      <c r="AA10" s="128">
        <f>AA9*AB9*AC9*AD9*AE9*AF9*AG9*AH9*AI9*AJ9*AK9*AL9*AM9*AN9*AO9*AP9*AQ9*AR9*AS9*AT9*AU9*AV9*AW9*AX9*AY9*AZ9*BA9*BB9*BC9</f>
        <v>3.2319789049602976</v>
      </c>
      <c r="AB10" s="128">
        <f>AB9*AC9*AD9*AE9*AF9*AG9*AH9*AI9*AJ9*AK9*AL9*AM9*AN9*AO9*AP9*AQ9*AR9*AS9*AT9*AU9*AV9*AW9*AX9*AY9*AZ9*BA9*BB9*BC9</f>
        <v>3.040431707394447</v>
      </c>
      <c r="AC10" s="128">
        <f>AC9*AD9*AE9*AF9*AG9*AH9*AI9*AJ9*AK9*AL9*AM9*AN9*AO9*AP9*AQ9*AR9*AS9*AT9*AU9*AV9*AW9*AX9*AY9*AZ9*BA9*BB9*BC9</f>
        <v>2.8602367896467054</v>
      </c>
      <c r="AD10" s="128">
        <f>AD9*AE9*AF9*AG9*AH9*AI9*AJ9*AK9*AL9*AM9*AN9*AO9*AP9*AQ9*AR9*AS9*AT9*AU9*AV9*AW9*AX9*AY9*AZ9*BA9*BB9*BC9</f>
        <v>2.6907213449169385</v>
      </c>
      <c r="AE10" s="128">
        <f>AE9*AF9*AG9*AH9*AI9*AJ9*AK9*AL9*AM9*AN9*AO9*AP9*AQ9*AR9*AS9*AT9*AU9*AV9*AW9*AX9*AY9*AZ9*BA9*BB9*BC9</f>
        <v>2.5312524411259996</v>
      </c>
      <c r="AF10" s="128">
        <f>AF9*AG9*AH9*AI9*AJ9*AK9*AL9*AM9*AN9*AO9*AP9*AQ9*AR9*AS9*AT9*AU9*AV9*AW9*AX9*AY9*AZ9*BA9*BB9*BC9</f>
        <v>2.381234657691439</v>
      </c>
      <c r="AG10" s="128">
        <f>AG9*AH9*AI9*AJ9*AK9*AL9*AM9*AN9*AO9*AP9*AQ9*AR9*AS9*AT9*AU9*AV9*AW9*AX9*AY9*AZ9*BA9*BB9*BC9</f>
        <v>2.240107862362596</v>
      </c>
      <c r="AH10" s="128">
        <f>AH9*AI9*AJ9*AK9*AL9*AM9*AN9*AO9*AP9*AQ9*AR9*AS9*AT9*AU9*AV9*AW9*AX9*AY9*AZ9*BA9*BB9*BC9</f>
        <v>2.1073451198142954</v>
      </c>
      <c r="AI10" s="128">
        <f>AI9*AJ9*AK9*AL9*AM9*AN9*AO9*AP9*AQ9*AR9*AS9*AT9*AU9*AV9*AW9*AX9*AY9*AZ9*BA9*BB9*BC9</f>
        <v>1.9824507241903064</v>
      </c>
      <c r="AJ10" s="128">
        <f>AJ9*AK9*AL9*AM9*AN9*AO9*AP9*AQ9*AR9*AS9*AT9*AU9*AV9*AW9*AX9*AY9*AZ9*BA9*BB9*BC9</f>
        <v>1.8649583482505234</v>
      </c>
      <c r="AK10" s="128">
        <f>AK9*AL9*AM9*AN9*AO9*AP9*AQ9*AR9*AS9*AT9*AU9*AV9*AW9*AX9*AY9*AZ9*BA9*BB9*BC9</f>
        <v>1.754429302211217</v>
      </c>
      <c r="AL10" s="128">
        <f>AL9*AM9*AN9*AO9*AP9*AQ9*AR9*AS9*AT9*AU9*AV9*AW9*AX9*AY9*AZ9*BA9*BB9*BC9</f>
        <v>1.6504508957772501</v>
      </c>
      <c r="AM10" s="128">
        <f>AM9*AN9*AO9*AP9*AQ9*AR9*AS9*AT9*AU9*AV9*AW9*AX9*AY9*AZ9*BA9*BB9*BC9</f>
        <v>1.5526348972504709</v>
      </c>
      <c r="AN10" s="128">
        <f>AN9*AO9*AP9*AQ9*AR9*AS9*AT9*AU9*AV9*AW9*AX9*AY9*AZ9*BA9*BB9*BC9</f>
        <v>1.4606160839609315</v>
      </c>
      <c r="AO10" s="128">
        <f>AO9*AP9*AQ9*AR9*AS9*AT9*AU9*AV9*AW9*AX9*AY9*AZ9*BA9*BB9*BC9</f>
        <v>1.3831591704175494</v>
      </c>
      <c r="AP10" s="128">
        <f>AP9*AQ9*AR9*AS9*AT9*AU9*AV9*AW9*AX9*AY9*AZ9*BA9*BB9*BC9</f>
        <v>1.3223319028848461</v>
      </c>
      <c r="AQ10" s="128">
        <f>AQ9*AR9*AS9*AT9*AU9*AV9*AW9*AX9*AY9*AZ9*BA9*BB9*BC9</f>
        <v>1.2641796394692606</v>
      </c>
      <c r="AR10" s="128">
        <f>AR9*AS9*AT9*AU9*AV9*AW9*AX9*AY9*AZ9*BA9*BB9*BC9</f>
        <v>1.2085847413664057</v>
      </c>
      <c r="AS10" s="128">
        <f>AS9*AT9*AU9*AV9*AW9*AX9*AY9*AZ9*BA9*BB9*BC9</f>
        <v>1.15543474318012</v>
      </c>
      <c r="AT10" s="128">
        <f>AT9*AU9*AV9*AW9*AX9*AY9*AZ9*BA9*BB9*BC9</f>
        <v>1.1046221254112045</v>
      </c>
      <c r="AU10" s="128">
        <f>AU9*AV9*AW9*AX9*AY9*AZ9*BA9*BB9*BC9</f>
        <v>1.0936852726843609</v>
      </c>
      <c r="AV10" s="128">
        <f>AV9*AW9*AX9*AY9*AZ9*BA9*BB9*BC9</f>
        <v>1.08285670562808</v>
      </c>
      <c r="AW10" s="128">
        <f>AW9*AX9*AY9*AZ9*BA9*BB9*BC9</f>
        <v>1.0721353521070098</v>
      </c>
      <c r="AX10" s="128">
        <f>AX9*AY9*AZ9*BA9*BB9*BC9</f>
        <v>1.061520150601</v>
      </c>
      <c r="AY10" s="128">
        <f>AY9*AZ9*BA9*BB9*BC9</f>
        <v>1.0510100501</v>
      </c>
      <c r="AZ10" s="128">
        <f>AZ9*BA9*BB9*BC9</f>
        <v>1.04060401</v>
      </c>
      <c r="BA10" s="128">
        <f>BA9*BB9*BC9</f>
        <v>1.030301</v>
      </c>
      <c r="BB10" s="129">
        <f>BC9*BB9</f>
        <v>1.0201</v>
      </c>
      <c r="BC10" s="130">
        <f>BC9*BD9</f>
        <v>1.0201</v>
      </c>
      <c r="BD10" s="130">
        <f>BD9</f>
        <v>1.01</v>
      </c>
    </row>
    <row r="11" spans="6:57" ht="19.5" customHeight="1">
      <c r="F11" s="138" t="s">
        <v>337</v>
      </c>
      <c r="G11" s="116">
        <f>$D$50</f>
        <v>6</v>
      </c>
      <c r="H11" s="116">
        <f aca="true" t="shared" si="3" ref="H11:AN11">$D$50</f>
        <v>6</v>
      </c>
      <c r="I11" s="116">
        <f t="shared" si="3"/>
        <v>6</v>
      </c>
      <c r="J11" s="116">
        <f t="shared" si="3"/>
        <v>6</v>
      </c>
      <c r="K11" s="116">
        <f t="shared" si="3"/>
        <v>6</v>
      </c>
      <c r="L11" s="116">
        <f t="shared" si="3"/>
        <v>6</v>
      </c>
      <c r="M11" s="116">
        <f t="shared" si="3"/>
        <v>6</v>
      </c>
      <c r="N11" s="116">
        <f t="shared" si="3"/>
        <v>6</v>
      </c>
      <c r="O11" s="116">
        <f t="shared" si="3"/>
        <v>6</v>
      </c>
      <c r="P11" s="116">
        <f t="shared" si="3"/>
        <v>6</v>
      </c>
      <c r="Q11" s="116">
        <f t="shared" si="3"/>
        <v>6</v>
      </c>
      <c r="R11" s="116">
        <f t="shared" si="3"/>
        <v>6</v>
      </c>
      <c r="S11" s="116">
        <f t="shared" si="3"/>
        <v>6</v>
      </c>
      <c r="T11" s="116">
        <f t="shared" si="3"/>
        <v>6</v>
      </c>
      <c r="U11" s="116">
        <f t="shared" si="3"/>
        <v>6</v>
      </c>
      <c r="V11" s="116">
        <f t="shared" si="3"/>
        <v>6</v>
      </c>
      <c r="W11" s="116">
        <f t="shared" si="3"/>
        <v>6</v>
      </c>
      <c r="X11" s="116">
        <f t="shared" si="3"/>
        <v>6</v>
      </c>
      <c r="Y11" s="116">
        <f t="shared" si="3"/>
        <v>6</v>
      </c>
      <c r="Z11" s="116">
        <f t="shared" si="3"/>
        <v>6</v>
      </c>
      <c r="AA11" s="116">
        <f t="shared" si="3"/>
        <v>6</v>
      </c>
      <c r="AB11" s="116">
        <f t="shared" si="3"/>
        <v>6</v>
      </c>
      <c r="AC11" s="116">
        <f t="shared" si="3"/>
        <v>6</v>
      </c>
      <c r="AD11" s="116">
        <f t="shared" si="3"/>
        <v>6</v>
      </c>
      <c r="AE11" s="116">
        <f t="shared" si="3"/>
        <v>6</v>
      </c>
      <c r="AF11" s="116">
        <f t="shared" si="3"/>
        <v>6</v>
      </c>
      <c r="AG11" s="116">
        <f t="shared" si="3"/>
        <v>6</v>
      </c>
      <c r="AH11" s="116">
        <f t="shared" si="3"/>
        <v>6</v>
      </c>
      <c r="AI11" s="116">
        <f t="shared" si="3"/>
        <v>6</v>
      </c>
      <c r="AJ11" s="116">
        <f t="shared" si="3"/>
        <v>6</v>
      </c>
      <c r="AK11" s="116">
        <f t="shared" si="3"/>
        <v>6</v>
      </c>
      <c r="AL11" s="116">
        <f t="shared" si="3"/>
        <v>6</v>
      </c>
      <c r="AM11" s="116">
        <f t="shared" si="3"/>
        <v>6</v>
      </c>
      <c r="AN11" s="116">
        <f t="shared" si="3"/>
        <v>6</v>
      </c>
      <c r="AO11" s="117">
        <f>D58</f>
        <v>4.2</v>
      </c>
      <c r="AP11" s="117">
        <f>D59</f>
        <v>4.2</v>
      </c>
      <c r="AQ11" s="117">
        <f>D60</f>
        <v>4.2</v>
      </c>
      <c r="AR11" s="117">
        <f>D61</f>
        <v>4.2</v>
      </c>
      <c r="AS11" s="117">
        <f>D62</f>
        <v>4.2</v>
      </c>
      <c r="AT11" s="117">
        <f>D63</f>
        <v>1</v>
      </c>
      <c r="AU11" s="117">
        <f>D64</f>
        <v>1</v>
      </c>
      <c r="AV11" s="117">
        <f>D65</f>
        <v>1</v>
      </c>
      <c r="AW11" s="117">
        <f>D66</f>
        <v>1</v>
      </c>
      <c r="AX11" s="117">
        <f>D67</f>
        <v>1</v>
      </c>
      <c r="AY11" s="117">
        <f>D68</f>
        <v>1</v>
      </c>
      <c r="AZ11" s="117">
        <f>D69</f>
        <v>1</v>
      </c>
      <c r="BA11" s="117">
        <f>D70</f>
        <v>1</v>
      </c>
      <c r="BB11" s="117">
        <f>D71</f>
        <v>1</v>
      </c>
      <c r="BC11" s="117">
        <f>D72</f>
        <v>9</v>
      </c>
      <c r="BD11" s="117">
        <f>E72</f>
        <v>1</v>
      </c>
      <c r="BE11" s="95">
        <v>100</v>
      </c>
    </row>
    <row r="12" spans="6:56" ht="19.5" customHeight="1">
      <c r="F12" s="3"/>
      <c r="G12" s="109">
        <f aca="true" t="shared" si="4" ref="G12:AL12">($BE$11+G11)/100</f>
        <v>1.06</v>
      </c>
      <c r="H12" s="109">
        <f t="shared" si="4"/>
        <v>1.06</v>
      </c>
      <c r="I12" s="109">
        <f t="shared" si="4"/>
        <v>1.06</v>
      </c>
      <c r="J12" s="109">
        <f t="shared" si="4"/>
        <v>1.06</v>
      </c>
      <c r="K12" s="109">
        <f t="shared" si="4"/>
        <v>1.06</v>
      </c>
      <c r="L12" s="109">
        <f t="shared" si="4"/>
        <v>1.06</v>
      </c>
      <c r="M12" s="109">
        <f t="shared" si="4"/>
        <v>1.06</v>
      </c>
      <c r="N12" s="109">
        <f t="shared" si="4"/>
        <v>1.06</v>
      </c>
      <c r="O12" s="109">
        <f t="shared" si="4"/>
        <v>1.06</v>
      </c>
      <c r="P12" s="109">
        <f t="shared" si="4"/>
        <v>1.06</v>
      </c>
      <c r="Q12" s="109">
        <f t="shared" si="4"/>
        <v>1.06</v>
      </c>
      <c r="R12" s="109">
        <f t="shared" si="4"/>
        <v>1.06</v>
      </c>
      <c r="S12" s="109">
        <f t="shared" si="4"/>
        <v>1.06</v>
      </c>
      <c r="T12" s="109">
        <f t="shared" si="4"/>
        <v>1.06</v>
      </c>
      <c r="U12" s="109">
        <f t="shared" si="4"/>
        <v>1.06</v>
      </c>
      <c r="V12" s="109">
        <f t="shared" si="4"/>
        <v>1.06</v>
      </c>
      <c r="W12" s="109">
        <f t="shared" si="4"/>
        <v>1.06</v>
      </c>
      <c r="X12" s="109">
        <f t="shared" si="4"/>
        <v>1.06</v>
      </c>
      <c r="Y12" s="109">
        <f t="shared" si="4"/>
        <v>1.06</v>
      </c>
      <c r="Z12" s="109">
        <f t="shared" si="4"/>
        <v>1.06</v>
      </c>
      <c r="AA12" s="109">
        <f t="shared" si="4"/>
        <v>1.06</v>
      </c>
      <c r="AB12" s="109">
        <f t="shared" si="4"/>
        <v>1.06</v>
      </c>
      <c r="AC12" s="109">
        <f t="shared" si="4"/>
        <v>1.06</v>
      </c>
      <c r="AD12" s="109">
        <f t="shared" si="4"/>
        <v>1.06</v>
      </c>
      <c r="AE12" s="109">
        <f t="shared" si="4"/>
        <v>1.06</v>
      </c>
      <c r="AF12" s="109">
        <f t="shared" si="4"/>
        <v>1.06</v>
      </c>
      <c r="AG12" s="109">
        <f t="shared" si="4"/>
        <v>1.06</v>
      </c>
      <c r="AH12" s="109">
        <f t="shared" si="4"/>
        <v>1.06</v>
      </c>
      <c r="AI12" s="109">
        <f t="shared" si="4"/>
        <v>1.06</v>
      </c>
      <c r="AJ12" s="109">
        <f t="shared" si="4"/>
        <v>1.06</v>
      </c>
      <c r="AK12" s="109">
        <f t="shared" si="4"/>
        <v>1.06</v>
      </c>
      <c r="AL12" s="109">
        <f t="shared" si="4"/>
        <v>1.06</v>
      </c>
      <c r="AM12" s="109">
        <f aca="true" t="shared" si="5" ref="AM12:BD12">($BE$11+AM11)/100</f>
        <v>1.06</v>
      </c>
      <c r="AN12" s="110">
        <f t="shared" si="5"/>
        <v>1.06</v>
      </c>
      <c r="AO12" s="109">
        <f t="shared" si="5"/>
        <v>1.042</v>
      </c>
      <c r="AP12" s="109">
        <f t="shared" si="5"/>
        <v>1.042</v>
      </c>
      <c r="AQ12" s="109">
        <f t="shared" si="5"/>
        <v>1.042</v>
      </c>
      <c r="AR12" s="109">
        <f t="shared" si="5"/>
        <v>1.042</v>
      </c>
      <c r="AS12" s="109">
        <f t="shared" si="5"/>
        <v>1.042</v>
      </c>
      <c r="AT12" s="109">
        <f t="shared" si="5"/>
        <v>1.01</v>
      </c>
      <c r="AU12" s="109">
        <f t="shared" si="5"/>
        <v>1.01</v>
      </c>
      <c r="AV12" s="109">
        <f t="shared" si="5"/>
        <v>1.01</v>
      </c>
      <c r="AW12" s="109">
        <f t="shared" si="5"/>
        <v>1.01</v>
      </c>
      <c r="AX12" s="109">
        <f t="shared" si="5"/>
        <v>1.01</v>
      </c>
      <c r="AY12" s="109">
        <f t="shared" si="5"/>
        <v>1.01</v>
      </c>
      <c r="AZ12" s="109">
        <f t="shared" si="5"/>
        <v>1.01</v>
      </c>
      <c r="BA12" s="109">
        <f t="shared" si="5"/>
        <v>1.01</v>
      </c>
      <c r="BB12" s="109">
        <f t="shared" si="5"/>
        <v>1.01</v>
      </c>
      <c r="BC12" s="109">
        <f t="shared" si="5"/>
        <v>1.09</v>
      </c>
      <c r="BD12" s="109">
        <f t="shared" si="5"/>
        <v>1.01</v>
      </c>
    </row>
    <row r="13" spans="6:57" ht="19.5" customHeight="1">
      <c r="F13" s="3"/>
      <c r="G13" s="120">
        <f>G12*H12*I12*J12*K12*L12*M12*N12*O12*P12*Q12*R12*S12*T12*U12*V12*W12*X12*Y12*Z12*AA12*AB12*AC12*AD12*AE12*AF12*AG12*AH12*AI12*AJ12*AK12*AL12*AM12*AN12*AO12*AP12*AQ12*AR12*AS12*AT12*AU12*AV12*AW12*AX12*AY12*AZ12*BA12*BB12*BC12</f>
        <v>10.618346074175909</v>
      </c>
      <c r="H13" s="120">
        <f>H12*I12*J12*K12*L12*M12*N12*O12*P12*Q12*R12*S12*T12*U12*V12*W12*X12*Y12*Z12*AA12*AB12*AC12*AD12*AE12*AF12*AG12*AH12*AI12*AJ12*AK12*AL12*AM12*AN12*AO12*AP12*AQ12*AR12*AS12*AT12*AU12*AV12*AW12*AX12*AY12*AZ12*BA12*BB12*BC12</f>
        <v>10.01730761714708</v>
      </c>
      <c r="I13" s="120">
        <f>I12*J12*K12*L12*M12*N12*O12*P12*Q12*R12*S12*T12*U12*V12*W12*X12*Y12*Z12*AA12*AB12*AC12*AD12*AE12*AF12*AG12*AH12*AI12*AJ12*AK12*AL12*AM12*AN12*AO12*AP12*AQ12*AR12*AS12*AT12*AU12*AV12*AW12*AX12*AY12*AZ12*BA12*BB12*BC12</f>
        <v>9.45029020485574</v>
      </c>
      <c r="J13" s="120">
        <f>J12*K12*L12*M12*N12*O12*P12*Q12*R12*S12*T12*U12*V12*W12*X12*Y12*Z12*AA12*AB12*AC12*AD12*AE12*AF12*AG12*AH12*AI12*AJ12*AK12*AL12*AM12*AN12*AO12*AP12*AQ12*AR12*AS12*AT12*AU12*AV12*AW12*AX12*AY12*AZ12*BA12*BB12*BC12</f>
        <v>8.915368117788432</v>
      </c>
      <c r="K13" s="120">
        <f>K12*L12*M12*N12*O12*P12*Q12*R12*S12*T12*U12*V12*W12*X12*Y12*Z12*AA12*AB12*AC12*AD12*AE12*AF12*AG12*AH12*AI12*AJ12*AK12*AL12*AM12*AN12*AO12*AP12*AQ12*AR12*AS12*AT12*AU12*AV12*AW12*AX12*AY12*AZ12*BA12*BB12*BC12</f>
        <v>8.410724639423048</v>
      </c>
      <c r="L13" s="120">
        <f>L12*M12*N12*O12*P12*Q12*R12*S12*T12*U12*V12*W12*X12*Y12*Z12*AA12*AB12*AC12*AD12*AE12*AF12*AG12*AH12*AI12*AJ12*AK12*AL12*AM12*AN12*AO12*AP12*AQ12*AR12*AS12*AT12*AU12*AV12*AW12*AX12*AY12*AZ12*BA12*BB12*BC12</f>
        <v>7.934645886248157</v>
      </c>
      <c r="M13" s="120">
        <f>M12*N12*O12*P12*Q12*R12*S12*T12*U12*V12*W12*X12*Y12*Z12*AA12*AB12*AC12*AD12*AE12*AF12*AG12*AH12*AI12*AJ12*AK12*AL12*AM12*AN12*AO12*AP12*AQ12*AR12*AS12*AT12*AU12*AV12*AW12*AX12*AY12*AZ12*BA12*BB12*BC12</f>
        <v>7.485514987026561</v>
      </c>
      <c r="N13" s="120">
        <f>N12*O12*P12*Q12*R12*S12*T12*U12*V12*W12*X12*Y12*Z12*AA12*AB12*AC12*AD12*AE12*AF12*AG12*AH12*AI12*AJ12*AK12*AL12*AM12*AN12*AO12*AP12*AQ12*AR12*AS12*AT12*AU12*AV12*AW12*AX12*AY12*AZ12*BA12*BB12*BC12*BC12</f>
        <v>7.697369184772599</v>
      </c>
      <c r="O13" s="120">
        <f>O12*P12*Q12*R12*S12*T12*U12*V12*W12*X12*Y12*Z12*AA12*AB12*AC12*AD12*AE12*AF12*AG12*AH12*AI12*AJ12*AK12*AL12*AM12*AN12*AO12*AP12*AQ12*AR12*AS12*AT12*AU12*AV12*AW12*AX12*AY12*AZ12*BA12*BB12*BC12</f>
        <v>6.662081690126881</v>
      </c>
      <c r="P13" s="120">
        <f>P12*Q12*R12*S12*T12*U12*V12*W12*X12*Y12*Z12*AA12*AB12*AC12*AD12*AE12*AF12*AG12*AH12*AI12*AJ12*AK12*AL12*AM12*AN12*AO12*AP12*AQ12*AR12*AS12*AT12*AU12*AV12*AW12*AX12*AY12*AZ12*BA12*BB12*BC12</f>
        <v>6.284982726534792</v>
      </c>
      <c r="Q13" s="120">
        <f>Q12*R12*S12*T12*U12*V12*W12*X12*Y12*Z12*AA12*AB12*AC12*AD12*AE12*AF12*AG12*AH12*AI12*AJ12*AK12*AL12*AM12*AN12*AO12*AP12*AQ12*AR12*AS12*AT12*AU12*AV12*AW12*AX12*AY12*AZ12*BA12*BB12*BC12</f>
        <v>5.9292289872969715</v>
      </c>
      <c r="R13" s="120">
        <f>R12*S12*T12*U12*V12*W12*X12*Y12*Z12*AA12*AB12*AC12*AD12*AE12*AF12*AG12*AH12*AI12*AJ12*AK12*AL12*AM12*AN12*AO12*AP12*AQ12*AR12*AS12*AT12*AU12*AV12*AW12*AX12*AY12*AZ12*BA12*BB12*BC12</f>
        <v>5.593612252166957</v>
      </c>
      <c r="S13" s="120">
        <f>S12*T12*U12*V12*W12*X12*Y12*Z12*AA12*AB12*AC12*AD12*AE12*AF12*AG12*AH12*AI12*AJ12*AK12*AL12*AM12*AN12*AO12*AP12*AQ12*AR12*AS12*AT12*AU12*AV12*AW12*AX12*AY12*AZ12*BA12*BB12*BC12*BC12</f>
        <v>5.751922032888664</v>
      </c>
      <c r="T13" s="120">
        <f>T12*U12*V12*W12*X12*Y12*Z12*AA12*AB12*AC12*AD12*AE12*AF12*AG12*AH12*AI12*AJ12*AK12*AL12*AM12*AN12*AO12*AP12*AQ12*AR12*AS12*AT12*AU12*AV12*AW12*AX12*AY12*AZ12*BA12*BB12*BC12</f>
        <v>4.978294991248626</v>
      </c>
      <c r="U13" s="120">
        <f>U12*V12*W12*X12*Y12*Z12*AA12*AB12*AC12*AD12*AE12*AF12*AG12*AH12*AI12*AJ12*AK12*AL12*AM12*AN12*AO12*AP12*AQ12*AR12*AS12*AT12*AU12*AV12*AW12*AX12*AY12*AZ12*BA12*BB12*BC12</f>
        <v>4.696504708725118</v>
      </c>
      <c r="V13" s="120">
        <f>V12*W12*X12*Y12*Z12*AA12*AB12*AC12*AD12*AE12*AF12*AG12*AH12*AI12*AJ12*AK12*AL12*AM12*AN12*AO12*AP12*AQ12*AR12*AS12*AT12*AU12*AV12*AW12*AX12*AY12*AZ12*BA12*BB12*BC12</f>
        <v>4.430664819551999</v>
      </c>
      <c r="W13" s="120">
        <f>W12*X12*Y12*Z12*AA12*AB12*AC12*AD12*AE12*AF12*AG12*AH12*AI12*AJ12*AK12*AL12*AM12*AN12*AO12*AP12*AQ12*AR12*AS12*AT12*AU12*AV12*AW12*AX12*AY12*AZ12*BA12*BB12*BC12</f>
        <v>4.17987247127547</v>
      </c>
      <c r="X13" s="120">
        <f>X12*Y12*Z12*AA12*AB12*AC12*AD12*AE12*AF12*AG12*AH12*AI12*AJ12*AK12*AL12*AM12*AN12*AO12*AP12*AQ12*AR12*AS12*AT12*AU12*AV12*AW12*AX12*AY12*AZ12*BA12*BB12*BC12</f>
        <v>3.9432759162976136</v>
      </c>
      <c r="Y13" s="120">
        <f>Y12*Z12*AA12*AB12*AC12*AD12*AE12*AF12*AG12*AH12*AI12*AJ12*AK12*AL12*AM12*AN12*AO12*AP12*AQ12*AR12*AS12*AT12*AU12*AV12*AW12*AX12*AY12*AZ12*BA12*BB12*BC12</f>
        <v>3.7200716191486904</v>
      </c>
      <c r="Z13" s="120">
        <f>Z12*AA12*AB12*AC12*AD12*AE12*AF12*AG12*AH12*AI12*AJ12*AK12*AL12*AM12*AN12*AO12*AP12*AQ12*AR12*AS12*AT12*AU12*AV12*AW12*AX12*AY12*AZ12*BA12*BB12*BC12</f>
        <v>3.509501527498765</v>
      </c>
      <c r="AA13" s="120">
        <f>AA12*AB12*AC12*AD12*AE12*AF12*AG12*AH12*AI12*AJ12*AK12*AL12*AM12*AN12*AO12*AP12*AQ12*AR12*AS12*AT12*AU12*AV12*AW12*AX12*AY12*AZ12*BA12*BB12*BC12</f>
        <v>3.3108504976403443</v>
      </c>
      <c r="AB13" s="120">
        <f>AB12*AC12*AD12*AE12*AF12*AG12*AH12*AI12*AJ12*AK12*AL12*AM12*AN12*AO12*AP12*AQ12*AR12*AS12*AT12*AU12*AV12*AW12*AX12*AY12*AZ12*BA12*BB12*BC12</f>
        <v>3.1234438656984382</v>
      </c>
      <c r="AC13" s="120">
        <f>AC12*AD12*AE12*AF12*AG12*AH12*AI12*AJ12*AK12*AL12*AM12*AN12*AO12*AP12*AQ12*AR12*AS12*AT12*AU12*AV12*AW12*AX12*AY12*AZ12*BA12*BB12*BC12</f>
        <v>2.9466451563192795</v>
      </c>
      <c r="AD13" s="120">
        <f>AD12*AE12*AF12*AG12*AH12*AI12*AJ12*AK12*AL12*AM12*AN12*AO12*AP12*AQ12*AR12*AS12*AT12*AU12*AV12*AW12*AX12*AY12*AZ12*BA12*BB12*BC12</f>
        <v>2.7798539210559245</v>
      </c>
      <c r="AE13" s="120">
        <f>AE12*AF12*AG12*AH12*AI12*AJ12*AK12*AL12*AM12*AN12*AO12*AP12*AQ12*AR12*AS12*AT12*AU12*AV12*AW12*AX12*AY12*AZ12*BA12*BB12*BC12</f>
        <v>2.622503699109363</v>
      </c>
      <c r="AF13" s="120">
        <f>AF12*AG12*AH12*AI12*AJ12*AK12*AL12*AM12*AN12*AO12*AP12*AQ12*AR12*AS12*AT12*AU12*AV12*AW12*AX12*AY12*AZ12*BA12*BB12*BC12</f>
        <v>2.4740600934994</v>
      </c>
      <c r="AG13" s="120">
        <f>AG12*AH12*AI12*AJ12*AK12*AL12*AM12*AN12*AO12*AP12*AQ12*AR12*AS12*AT12*AU12*AV12*AW12*AX12*AY12*AZ12*BA12*BB12*BC12</f>
        <v>2.3340189561315086</v>
      </c>
      <c r="AH13" s="120">
        <f>AH12*AI12*AJ12*AK12*AL12*AM12*AN12*AO12*AP12*AQ12*AR12*AS12*AT12*AU12*AV12*AW12*AX12*AY12*AZ12*BA12*BB12*BC12</f>
        <v>2.2019046755957628</v>
      </c>
      <c r="AI13" s="120">
        <f>AI12*AJ12*AK12*AL12*AM12*AN12*AO12*AP12*AQ12*AR12*AS12*AT12*AU12*AV12*AW12*AX12*AY12*AZ12*BA12*BB12*BC12</f>
        <v>2.0772685618827946</v>
      </c>
      <c r="AJ13" s="120">
        <f>AJ12*AK12*AL12*AM12*AN12*AO12*AP12*AQ12*AR12*AS12*AT12*AU12*AV12*AW12*AX12*AY12*AZ12*BA12*BB12*BC12</f>
        <v>1.9596873225309386</v>
      </c>
      <c r="AK13" s="120">
        <f>AK12*AL12*AM12*AN12*AO12*AP12*AQ12*AR12*AS12*AT12*AU12*AV12*AW12*AX12*AY12*AZ12*BA12*BB12*BC12</f>
        <v>1.8487616250291874</v>
      </c>
      <c r="AL13" s="120">
        <f>AL12*AM12*AN12*AO12*AP12*AQ12*AR12*AS12*AT12*AU12*AV12*AW12*AX12*AY12*AZ12*BA12*BB12*BC12</f>
        <v>1.7441147405935726</v>
      </c>
      <c r="AM13" s="120">
        <f>AM12*AN12*AO12*AP12*AQ12*AR12*AS12*AT12*AU12*AV12*AW12*AX12*AY12*AZ12*BA12*BB12*BC12</f>
        <v>1.645391264710918</v>
      </c>
      <c r="AN13" s="120">
        <f>AN12*AO12*AP12*AQ12*AR12*AS12*AT12*AU12*AV12*AW12*AX12*AY12*AZ12*BA12*BB12*BC12</f>
        <v>1.5522559101046387</v>
      </c>
      <c r="AO13" s="120">
        <f>AO12*AP12*AQ12*AR12*AS12*AT12*AU12*AV12*AW12*AX12*AY12*AZ12*BA12*BB12*BC12</f>
        <v>1.4643923680232445</v>
      </c>
      <c r="AP13" s="120">
        <f>AP12*AQ12*AR12*AS12*AT12*AU12*AV12*AW12*AX12*AY12*AZ12*BA12*BB12*BC12</f>
        <v>1.4053669558764346</v>
      </c>
      <c r="AQ13" s="120">
        <f>AQ12*AR12*AS12*AT12*AU12*AV12*AW12*AX12*AY12*AZ12*BA12*BB12*BC12</f>
        <v>1.34872068702153</v>
      </c>
      <c r="AR13" s="120">
        <f>AR12*AS12*AT12*AU12*AV12*AW12*AX12*AY12*AZ12*BA12*BB12*BC12</f>
        <v>1.2943576650878403</v>
      </c>
      <c r="AS13" s="120">
        <f>AS12*AT12*AU12*AV12*AW12*AX12*AY12*AZ12*BA12*BB12*BC12</f>
        <v>1.2421858590094437</v>
      </c>
      <c r="AT13" s="120">
        <f>AT12*AU12*AV12*AW12*AX12*AY12*AZ12*BA12*BB12*BC12</f>
        <v>1.1921169472259534</v>
      </c>
      <c r="AU13" s="120">
        <f>AU12*AV12*AW12*AX12*AY12*AZ12*BA12*BB12*BC12</f>
        <v>1.1803138091346073</v>
      </c>
      <c r="AV13" s="120">
        <f>AV12*AW12*AX12*AY12*AZ12*BA12*BB12*BC12</f>
        <v>1.1686275337966407</v>
      </c>
      <c r="AW13" s="120">
        <f>AW12*AX12*AY12*AZ12*BA12*BB12*BC12</f>
        <v>1.15705696415509</v>
      </c>
      <c r="AX13" s="120">
        <f>AX12*AY12*AZ12*BA12*BB12*BC12</f>
        <v>1.145600954609</v>
      </c>
      <c r="AY13" s="120">
        <f>AY12*AZ12*BA12*BB12*BC12</f>
        <v>1.1342583709</v>
      </c>
      <c r="AZ13" s="120">
        <f>AZ12*BA12*BB12*BC12</f>
        <v>1.12302809</v>
      </c>
      <c r="BA13" s="120">
        <f>BA12*BB12*BC12</f>
        <v>1.111909</v>
      </c>
      <c r="BB13" s="121">
        <f>BC12*BB12</f>
        <v>1.1009</v>
      </c>
      <c r="BC13" s="101">
        <f>BC12*BD12</f>
        <v>1.1009</v>
      </c>
      <c r="BD13" s="101">
        <f>BD12</f>
        <v>1.01</v>
      </c>
      <c r="BE13">
        <v>1</v>
      </c>
    </row>
    <row r="14" spans="1:57" ht="19.5" customHeight="1" thickBot="1">
      <c r="A14" t="s">
        <v>55</v>
      </c>
      <c r="F14" s="139" t="s">
        <v>337</v>
      </c>
      <c r="G14" s="113">
        <f>$C$50</f>
        <v>4.4</v>
      </c>
      <c r="H14" s="113">
        <f aca="true" t="shared" si="6" ref="H14:AM14">$C$50</f>
        <v>4.4</v>
      </c>
      <c r="I14" s="113">
        <f t="shared" si="6"/>
        <v>4.4</v>
      </c>
      <c r="J14" s="113">
        <f t="shared" si="6"/>
        <v>4.4</v>
      </c>
      <c r="K14" s="113">
        <f t="shared" si="6"/>
        <v>4.4</v>
      </c>
      <c r="L14" s="113">
        <f t="shared" si="6"/>
        <v>4.4</v>
      </c>
      <c r="M14" s="113">
        <f t="shared" si="6"/>
        <v>4.4</v>
      </c>
      <c r="N14" s="113">
        <f t="shared" si="6"/>
        <v>4.4</v>
      </c>
      <c r="O14" s="113">
        <f t="shared" si="6"/>
        <v>4.4</v>
      </c>
      <c r="P14" s="113">
        <f t="shared" si="6"/>
        <v>4.4</v>
      </c>
      <c r="Q14" s="113">
        <f t="shared" si="6"/>
        <v>4.4</v>
      </c>
      <c r="R14" s="113">
        <f t="shared" si="6"/>
        <v>4.4</v>
      </c>
      <c r="S14" s="113">
        <f t="shared" si="6"/>
        <v>4.4</v>
      </c>
      <c r="T14" s="113">
        <f t="shared" si="6"/>
        <v>4.4</v>
      </c>
      <c r="U14" s="113">
        <f t="shared" si="6"/>
        <v>4.4</v>
      </c>
      <c r="V14" s="113">
        <f t="shared" si="6"/>
        <v>4.4</v>
      </c>
      <c r="W14" s="113">
        <f t="shared" si="6"/>
        <v>4.4</v>
      </c>
      <c r="X14" s="113">
        <f t="shared" si="6"/>
        <v>4.4</v>
      </c>
      <c r="Y14" s="113">
        <f t="shared" si="6"/>
        <v>4.4</v>
      </c>
      <c r="Z14" s="113">
        <f t="shared" si="6"/>
        <v>4.4</v>
      </c>
      <c r="AA14" s="113">
        <f t="shared" si="6"/>
        <v>4.4</v>
      </c>
      <c r="AB14" s="113">
        <f t="shared" si="6"/>
        <v>4.4</v>
      </c>
      <c r="AC14" s="113">
        <f t="shared" si="6"/>
        <v>4.4</v>
      </c>
      <c r="AD14" s="113">
        <f t="shared" si="6"/>
        <v>4.4</v>
      </c>
      <c r="AE14" s="113">
        <f t="shared" si="6"/>
        <v>4.4</v>
      </c>
      <c r="AF14" s="113">
        <f t="shared" si="6"/>
        <v>4.4</v>
      </c>
      <c r="AG14" s="113">
        <f t="shared" si="6"/>
        <v>4.4</v>
      </c>
      <c r="AH14" s="113">
        <f t="shared" si="6"/>
        <v>4.4</v>
      </c>
      <c r="AI14" s="113">
        <f t="shared" si="6"/>
        <v>4.4</v>
      </c>
      <c r="AJ14" s="113">
        <f t="shared" si="6"/>
        <v>4.4</v>
      </c>
      <c r="AK14" s="113">
        <f t="shared" si="6"/>
        <v>4.4</v>
      </c>
      <c r="AL14" s="113">
        <f t="shared" si="6"/>
        <v>4.4</v>
      </c>
      <c r="AM14" s="113">
        <f t="shared" si="6"/>
        <v>4.4</v>
      </c>
      <c r="AN14" s="114">
        <f>C57</f>
        <v>4.4</v>
      </c>
      <c r="AO14" s="115">
        <f>C58</f>
        <v>3.9</v>
      </c>
      <c r="AP14" s="115">
        <f>C59</f>
        <v>3.9</v>
      </c>
      <c r="AQ14" s="115">
        <f>C60</f>
        <v>3.9</v>
      </c>
      <c r="AR14" s="115">
        <f>C61</f>
        <v>3.9</v>
      </c>
      <c r="AS14" s="115">
        <f>C62</f>
        <v>3.9</v>
      </c>
      <c r="AT14" s="115">
        <f>C63</f>
        <v>1</v>
      </c>
      <c r="AU14" s="115">
        <f>C64</f>
        <v>1</v>
      </c>
      <c r="AV14" s="115">
        <f>C65</f>
        <v>1</v>
      </c>
      <c r="AW14" s="115">
        <f>C66</f>
        <v>1</v>
      </c>
      <c r="AX14" s="115">
        <f>C67</f>
        <v>1</v>
      </c>
      <c r="AY14" s="115">
        <f>C68</f>
        <v>1</v>
      </c>
      <c r="AZ14" s="115">
        <f>C69</f>
        <v>1</v>
      </c>
      <c r="BA14" s="115">
        <f>C70</f>
        <v>1</v>
      </c>
      <c r="BB14" s="115">
        <f>C71</f>
        <v>1</v>
      </c>
      <c r="BC14" s="115">
        <f>C72</f>
        <v>6</v>
      </c>
      <c r="BD14" s="115">
        <f>D72</f>
        <v>9</v>
      </c>
      <c r="BE14" s="99">
        <v>100</v>
      </c>
    </row>
    <row r="15" spans="1:56" ht="13.5" thickBot="1">
      <c r="A15" t="s">
        <v>264</v>
      </c>
      <c r="F15" s="11">
        <f>B3</f>
        <v>26</v>
      </c>
      <c r="G15" s="118">
        <f aca="true" t="shared" si="7" ref="G15:AL15">($BE$14+G14)/100</f>
        <v>1.044</v>
      </c>
      <c r="H15" s="118">
        <f t="shared" si="7"/>
        <v>1.044</v>
      </c>
      <c r="I15" s="118">
        <f t="shared" si="7"/>
        <v>1.044</v>
      </c>
      <c r="J15" s="118">
        <f t="shared" si="7"/>
        <v>1.044</v>
      </c>
      <c r="K15" s="118">
        <f t="shared" si="7"/>
        <v>1.044</v>
      </c>
      <c r="L15" s="118">
        <f t="shared" si="7"/>
        <v>1.044</v>
      </c>
      <c r="M15" s="118">
        <f t="shared" si="7"/>
        <v>1.044</v>
      </c>
      <c r="N15" s="118">
        <f t="shared" si="7"/>
        <v>1.044</v>
      </c>
      <c r="O15" s="118">
        <f t="shared" si="7"/>
        <v>1.044</v>
      </c>
      <c r="P15" s="118">
        <f t="shared" si="7"/>
        <v>1.044</v>
      </c>
      <c r="Q15" s="118">
        <f t="shared" si="7"/>
        <v>1.044</v>
      </c>
      <c r="R15" s="118">
        <f t="shared" si="7"/>
        <v>1.044</v>
      </c>
      <c r="S15" s="118">
        <f t="shared" si="7"/>
        <v>1.044</v>
      </c>
      <c r="T15" s="118">
        <f t="shared" si="7"/>
        <v>1.044</v>
      </c>
      <c r="U15" s="118">
        <f t="shared" si="7"/>
        <v>1.044</v>
      </c>
      <c r="V15" s="118">
        <f t="shared" si="7"/>
        <v>1.044</v>
      </c>
      <c r="W15" s="118">
        <f t="shared" si="7"/>
        <v>1.044</v>
      </c>
      <c r="X15" s="118">
        <f t="shared" si="7"/>
        <v>1.044</v>
      </c>
      <c r="Y15" s="118">
        <f t="shared" si="7"/>
        <v>1.044</v>
      </c>
      <c r="Z15" s="118">
        <f t="shared" si="7"/>
        <v>1.044</v>
      </c>
      <c r="AA15" s="118">
        <f t="shared" si="7"/>
        <v>1.044</v>
      </c>
      <c r="AB15" s="118">
        <f t="shared" si="7"/>
        <v>1.044</v>
      </c>
      <c r="AC15" s="118">
        <f t="shared" si="7"/>
        <v>1.044</v>
      </c>
      <c r="AD15" s="118">
        <f t="shared" si="7"/>
        <v>1.044</v>
      </c>
      <c r="AE15" s="118">
        <f t="shared" si="7"/>
        <v>1.044</v>
      </c>
      <c r="AF15" s="118">
        <f t="shared" si="7"/>
        <v>1.044</v>
      </c>
      <c r="AG15" s="118">
        <f t="shared" si="7"/>
        <v>1.044</v>
      </c>
      <c r="AH15" s="118">
        <f t="shared" si="7"/>
        <v>1.044</v>
      </c>
      <c r="AI15" s="118">
        <f t="shared" si="7"/>
        <v>1.044</v>
      </c>
      <c r="AJ15" s="118">
        <f t="shared" si="7"/>
        <v>1.044</v>
      </c>
      <c r="AK15" s="118">
        <f t="shared" si="7"/>
        <v>1.044</v>
      </c>
      <c r="AL15" s="118">
        <f t="shared" si="7"/>
        <v>1.044</v>
      </c>
      <c r="AM15" s="118">
        <f aca="true" t="shared" si="8" ref="AM15:BD15">($BE$14+AM14)/100</f>
        <v>1.044</v>
      </c>
      <c r="AN15" s="118">
        <f t="shared" si="8"/>
        <v>1.044</v>
      </c>
      <c r="AO15" s="118">
        <f t="shared" si="8"/>
        <v>1.0390000000000001</v>
      </c>
      <c r="AP15" s="118">
        <f t="shared" si="8"/>
        <v>1.0390000000000001</v>
      </c>
      <c r="AQ15" s="118">
        <f t="shared" si="8"/>
        <v>1.0390000000000001</v>
      </c>
      <c r="AR15" s="118">
        <f t="shared" si="8"/>
        <v>1.0390000000000001</v>
      </c>
      <c r="AS15" s="118">
        <f t="shared" si="8"/>
        <v>1.0390000000000001</v>
      </c>
      <c r="AT15" s="118">
        <f t="shared" si="8"/>
        <v>1.01</v>
      </c>
      <c r="AU15" s="118">
        <f t="shared" si="8"/>
        <v>1.01</v>
      </c>
      <c r="AV15" s="118">
        <f t="shared" si="8"/>
        <v>1.01</v>
      </c>
      <c r="AW15" s="118">
        <f t="shared" si="8"/>
        <v>1.01</v>
      </c>
      <c r="AX15" s="118">
        <f t="shared" si="8"/>
        <v>1.01</v>
      </c>
      <c r="AY15" s="118">
        <f t="shared" si="8"/>
        <v>1.01</v>
      </c>
      <c r="AZ15" s="118">
        <f t="shared" si="8"/>
        <v>1.01</v>
      </c>
      <c r="BA15" s="118">
        <f t="shared" si="8"/>
        <v>1.01</v>
      </c>
      <c r="BB15" s="118">
        <f t="shared" si="8"/>
        <v>1.01</v>
      </c>
      <c r="BC15" s="119">
        <f t="shared" si="8"/>
        <v>1.06</v>
      </c>
      <c r="BD15" s="119">
        <f t="shared" si="8"/>
        <v>1.09</v>
      </c>
    </row>
    <row r="16" spans="6:118" ht="39" customHeight="1">
      <c r="F16" s="134"/>
      <c r="G16" s="111">
        <f>G15*H15*I15*J15*K15*L15*M15*N15*O15*P15*Q15*R15*S15*T15*U15*V15*W15*X15*Y15*Z15*AA15*AB15*AC15*AD15*AE15*AF15*AG15*AH15*AI15*AJ15*AK15*AL15*AM15*AN15*AO15*AP15*AQ15*AR15*AS15*AT15*AU15*AV15*AW15*AX15*AY15*AZ15*BA15*BB15*BC15</f>
        <v>6.068661609212823</v>
      </c>
      <c r="H16" s="111">
        <f>H15*I15*J15*K15*L15*M15*N15*O15*P15*Q15*R15*S15*T15*U15*V15*W15*X15*Y15*Z15*AA15*AB15*AC15*AD15*AE15*AF15*AG15*AH15*AI15*AJ15*AK15*AL15*AM15*AN15*AO15*AP15*AQ15*AR15*AS15*AT15*AU15*AV15*AW15*AX15*AY15*AZ15*BA15*BB15*BC15</f>
        <v>5.812894261698105</v>
      </c>
      <c r="I16" s="111">
        <f>I15*J15*K15*L15*M15*N15*O15*P15*Q15*R15*S15*T15*U15*V15*W15*X15*Y15*Z15*AA15*AB15*AC15*AD15*AE15*AF15*AG15*AH15*AI15*AJ15*AK15*AL15*AM15*AN15*AO15*AP15*AQ15*AR15*AS15*AT15*AU15*AV15*AW15*AX15*AY15*AZ15*BA15*BB15*BC15</f>
        <v>5.567906380936882</v>
      </c>
      <c r="J16" s="111">
        <f>J15*K15*L15*M15*N15*O15*P15*Q15*R15*S15*T15*U15*V15*W15*X15*Y15*Z15*AA15*AB15*AC15*AD15*AE15*AF15*AG15*AH15*AI15*AJ15*AK15*AL15*AM15*AN15*AO15*AP15*AQ15*AR15*AS15*AT15*AU15*AV15*AW15*AX15*AY15*AZ15*BA15*BB15*BC15</f>
        <v>5.333243659901227</v>
      </c>
      <c r="K16" s="111">
        <f>K15*L15*M15*N15*O15*P15*Q15*R15*S15*T15*U15*V15*W15*X15*Y15*Z15*AA15*AB15*AC15*AD15*AE15*AF15*AG15*AH15*AI15*AJ15*AK15*AL15*AM15*AN15*AO15*AP15*AQ15*AR15*AS15*AT15*AU15*AV15*AW15*AX15*AY15*AZ15*BA15*BB15*BC15</f>
        <v>5.108470938602706</v>
      </c>
      <c r="L16" s="111">
        <f>L15*M15*N15*O15*P15*Q15*R15*S15*T15*U15*V15*W15*X15*Y15*Z15*AA15*AB15*AC15*AD15*AE15*AF15*AG15*AH15*AI15*AJ15*AK15*AL15*AM15*AN15*AO15*AP15*AQ15*AR15*AS15*AT15*AU15*AV15*AW15*AX15*AY15*AZ15*BA15*BB15*BC15</f>
        <v>4.89317139712903</v>
      </c>
      <c r="M16" s="111">
        <f>M15*N15*O15*P15*Q15*R15*S15*T15*U15*V15*W15*X15*Y15*Z15*AA15*AB15*AC15*AD15*AE15*AF15*AG15*AH15*AI15*AJ15*AK15*AL15*AM15*AN15*AO15*AP15*AQ15*AR15*AS15*AT15*AU15*AV15*AW15*AX15*AY15*AZ15*BA15*BB15*BC15</f>
        <v>4.686945782690643</v>
      </c>
      <c r="N16" s="111">
        <f>N15*O15*P15*Q15*R15*S15*T15*U15*V15*W15*X15*Y15*Z15*AA15*AB15*AC15*AD15*AE15*AF15*AG15*AH15*AI15*AJ15*AK15*AL15*AM15*AN15*AO15*AP15*AQ15*AR15*AS15*AT15*AU15*AV15*AW15*AX15*AY15*AZ15*BA15*BB15*BC15*BC15</f>
        <v>4.758776369398543</v>
      </c>
      <c r="O16" s="111">
        <f>O15*P15*Q15*R15*S15*T15*U15*V15*W15*X15*Y15*Z15*AA15*AB15*AC15*AD15*AE15*AF15*AG15*AH15*AI15*AJ15*AK15*AL15*AM15*AN15*AO15*AP15*AQ15*AR15*AS15*AT15*AU15*AV15*AW15*AX15*AY15*AZ15*BA15*BB15*BC15</f>
        <v>4.300202748317919</v>
      </c>
      <c r="P16" s="111">
        <f>P15*Q15*R15*S15*T15*U15*V15*W15*X15*Y15*Z15*AA15*AB15*AC15*AD15*AE15*AF15*AG15*AH15*AI15*AJ15*AK15*AL15*AM15*AN15*AO15*AP15*AQ15*AR15*AS15*AT15*AU15*AV15*AW15*AX15*AY15*AZ15*BA15*BB15*BC15</f>
        <v>4.11896814972981</v>
      </c>
      <c r="Q16" s="111">
        <f>Q15*R15*S15*T15*U15*V15*W15*X15*Y15*Z15*AA15*AB15*AC15*AD15*AE15*AF15*AG15*AH15*AI15*AJ15*AK15*AL15*AM15*AN15*AO15*AP15*AQ15*AR15*AS15*AT15*AU15*AV15*AW15*AX15*AY15*AZ15*BA15*BB15*BC15</f>
        <v>3.9453717909289363</v>
      </c>
      <c r="R16" s="111">
        <f>R15*S15*T15*U15*V15*W15*X15*Y15*Z15*AA15*AB15*AC15*AD15*AE15*AF15*AG15*AH15*AI15*AJ15*AK15*AL15*AM15*AN15*AO15*AP15*AQ15*AR15*AS15*AT15*AU15*AV15*AW15*AX15*AY15*AZ15*BA15*BB15*BC15</f>
        <v>3.779091753763349</v>
      </c>
      <c r="S16" s="111">
        <f>S15*T15*U15*V15*W15*X15*Y15*Z15*AA15*AB15*AC15*AD15*AE15*AF15*AG15*AH15*AI15*AJ15*AK15*AL15*AM15*AN15*AO15*AP15*AQ15*AR15*AS15*AT15*AU15*AV15*AW15*AX15*AY15*AZ15*BA15*BB15*BC15*BC15</f>
        <v>3.837008868763553</v>
      </c>
      <c r="T16" s="111">
        <f>T15*U15*V15*W15*X15*Y15*Z15*AA15*AB15*AC15*AD15*AE15*AF15*AG15*AH15*AI15*AJ15*AK15*AL15*AM15*AN15*AO15*AP15*AQ15*AR15*AS15*AT15*AU15*AV15*AW15*AX15*AY15*AZ15*BA15*BB15*BC15</f>
        <v>3.4672602370812124</v>
      </c>
      <c r="U16" s="111">
        <f>U15*V15*W15*X15*Y15*Z15*AA15*AB15*AC15*AD15*AE15*AF15*AG15*AH15*AI15*AJ15*AK15*AL15*AM15*AN15*AO15*AP15*AQ15*AR15*AS15*AT15*AU15*AV15*AW15*AX15*AY15*AZ15*BA15*BB15*BC15</f>
        <v>3.3211304952885166</v>
      </c>
      <c r="V16" s="111">
        <f>V15*W15*X15*Y15*Z15*AA15*AB15*AC15*AD15*AE15*AF15*AG15*AH15*AI15*AJ15*AK15*AL15*AM15*AN15*AO15*AP15*AQ15*AR15*AS15*AT15*AU15*AV15*AW15*AX15*AY15*AZ15*BA15*BB15*BC15</f>
        <v>3.181159478245706</v>
      </c>
      <c r="W16" s="111">
        <f>W15*X15*Y15*Z15*AA15*AB15*AC15*AD15*AE15*AF15*AG15*AH15*AI15*AJ15*AK15*AL15*AM15*AN15*AO15*AP15*AQ15*AR15*AS15*AT15*AU15*AV15*AW15*AX15*AY15*AZ15*BA15*BB15*BC15</f>
        <v>3.047087622840715</v>
      </c>
      <c r="X16" s="111">
        <f>X15*Y15*Z15*AA15*AB15*AC15*AD15*AE15*AF15*AG15*AH15*AI15*AJ15*AK15*AL15*AM15*AN15*AO15*AP15*AQ15*AR15*AS15*AT15*AU15*AV15*AW15*AX15*AY15*AZ15*BA15*BB15*BC15</f>
        <v>2.9186663054029824</v>
      </c>
      <c r="Y16" s="111">
        <f>Y15*Z15*AA15*AB15*AC15*AD15*AE15*AF15*AG15*AH15*AI15*AJ15*AK15*AL15*AM15*AN15*AO15*AP15*AQ15*AR15*AS15*AT15*AU15*AV15*AW15*AX15*AY15*AZ15*BA15*BB15*BC15</f>
        <v>2.795657380654199</v>
      </c>
      <c r="Z16" s="111">
        <f>Z15*AA15*AB15*AC15*AD15*AE15*AF15*AG15*AH15*AI15*AJ15*AK15*AL15*AM15*AN15*AO15*AP15*AQ15*AR15*AS15*AT15*AU15*AV15*AW15*AX15*AY15*AZ15*BA15*BB15*BC15</f>
        <v>2.6778327400902273</v>
      </c>
      <c r="AA16" s="111">
        <f>AA15*AB15*AC15*AD15*AE15*AF15*AG15*AH15*AI15*AJ15*AK15*AL15*AM15*AN15*AO15*AP15*AQ15*AR15*AS15*AT15*AU15*AV15*AW15*AX15*AY15*AZ15*BA15*BB15*BC15</f>
        <v>2.564973888975315</v>
      </c>
      <c r="AB16" s="111">
        <f>AB15*AC15*AD15*AE15*AF15*AG15*AH15*AI15*AJ15*AK15*AL15*AM15*AN15*AO15*AP15*AQ15*AR15*AS15*AT15*AU15*AV15*AW15*AX15*AY15*AZ15*BA15*BB15*BC15</f>
        <v>2.456871541164094</v>
      </c>
      <c r="AC16" s="111">
        <f>AC15*AD15*AE15*AF15*AG15*AH15*AI15*AJ15*AK15*AL15*AM15*AN15*AO15*AP15*AQ15*AR15*AS15*AT15*AU15*AV15*AW15*AX15*AY15*AZ15*BA15*BB15*BC15</f>
        <v>2.3533252310000896</v>
      </c>
      <c r="AD16" s="111">
        <f>AD15*AE15*AF15*AG15*AH15*AI15*AJ15*AK15*AL15*AM15*AN15*AO15*AP15*AQ15*AR15*AS15*AT15*AU15*AV15*AW15*AX15*AY15*AZ15*BA15*BB15*BC15</f>
        <v>2.2541429415709673</v>
      </c>
      <c r="AE16" s="111">
        <f>AE15*AF15*AG15*AH15*AI15*AJ15*AK15*AL15*AM15*AN15*AO15*AP15*AQ15*AR15*AS15*AT15*AU15*AV15*AW15*AX15*AY15*AZ15*BA15*BB15*BC15</f>
        <v>2.159140748631195</v>
      </c>
      <c r="AF16" s="111">
        <f>AF15*AG15*AH15*AI15*AJ15*AK15*AL15*AM15*AN15*AO15*AP15*AQ15*AR15*AS15*AT15*AU15*AV15*AW15*AX15*AY15*AZ15*BA15*BB15*BC15</f>
        <v>2.068142479531796</v>
      </c>
      <c r="AG16" s="111">
        <f>AG15*AH15*AI15*AJ15*AK15*AL15*AM15*AN15*AO15*AP15*AQ15*AR15*AS15*AT15*AU15*AV15*AW15*AX15*AY15*AZ15*BA15*BB15*BC15</f>
        <v>1.9809793865247092</v>
      </c>
      <c r="AH16" s="111">
        <f>AH15*AI15*AJ15*AK15*AL15*AM15*AN15*AO15*AP15*AQ15*AR15*AS15*AT15*AU15*AV15*AW15*AX15*AY15*AZ15*BA15*BB15*BC15</f>
        <v>1.8974898338359265</v>
      </c>
      <c r="AI16" s="111">
        <f>AI15*AJ15*AK15*AL15*AM15*AN15*AO15*AP15*AQ15*AR15*AS15*AT15*AU15*AV15*AW15*AX15*AY15*AZ15*BA15*BB15*BC15</f>
        <v>1.8175189979271338</v>
      </c>
      <c r="AJ16" s="111">
        <f>AJ15*AK15*AL15*AM15*AN15*AO15*AP15*AQ15*AR15*AS15*AT15*AU15*AV15*AW15*AX15*AY15*AZ15*BA15*BB15*BC15</f>
        <v>1.7409185803899747</v>
      </c>
      <c r="AK16" s="111">
        <f>AK15*AL15*AM15*AN15*AO15*AP15*AQ15*AR15*AS15*AT15*AU15*AV15*AW15*AX15*AY15*AZ15*BA15*BB15*BC15</f>
        <v>1.6675465329405885</v>
      </c>
      <c r="AL16" s="111">
        <f>AL15*AM15*AN15*AO15*AP15*AQ15*AR15*AS15*AT15*AU15*AV15*AW15*AX15*AY15*AZ15*BA15*BB15*BC15</f>
        <v>1.5972667940043948</v>
      </c>
      <c r="AM16" s="111">
        <f>AM15*AN15*AO15*AP15*AQ15*AR15*AS15*AT15*AU15*AV15*AW15*AX15*AY15*AZ15*BA15*BB15*BC15</f>
        <v>1.529949036402677</v>
      </c>
      <c r="AN16" s="111">
        <f>AN15*AO15*AP15*AQ15*AR15*AS15*AT15*AU15*AV15*AW15*AX15*AY15*AZ15*BA15*BB15*BC15</f>
        <v>1.4654684256730628</v>
      </c>
      <c r="AO16" s="111">
        <f>AO15*AP15*AQ15*AR15*AS15*AT15*AU15*AV15*AW15*AX15*AY15*AZ15*BA15*BB15*BC15</f>
        <v>1.4037053885757296</v>
      </c>
      <c r="AP16" s="111">
        <f>AP15*AQ15*AR15*AS15*AT15*AU15*AV15*AW15*AX15*AY15*AZ15*BA15*BB15*BC15</f>
        <v>1.3510157734126371</v>
      </c>
      <c r="AQ16" s="111">
        <f>AQ15*AR15*AS15*AT15*AU15*AV15*AW15*AX15*AY15*AZ15*BA15*BB15*BC15</f>
        <v>1.3003039205126432</v>
      </c>
      <c r="AR16" s="111">
        <f>AR15*AS15*AT15*AU15*AV15*AW15*AX15*AY15*AZ15*BA15*BB15*BC15</f>
        <v>1.2514955924087041</v>
      </c>
      <c r="AS16" s="111">
        <f>AS15*AT15*AU15*AV15*AW15*AX15*AY15*AZ15*BA15*BB15*BC15</f>
        <v>1.2045193382181945</v>
      </c>
      <c r="AT16" s="111">
        <f>AT15*AU15*AV15*AW15*AX15*AY15*AZ15*BA15*BB15*BC15</f>
        <v>1.1593063890454225</v>
      </c>
      <c r="AU16" s="111">
        <f>AU15*AV15*AW15*AX15*AY15*AZ15*BA15*BB15*BC15</f>
        <v>1.1478281079657648</v>
      </c>
      <c r="AV16" s="111">
        <f>AV15*AW15*AX15*AY15*AZ15*BA15*BB15*BC15</f>
        <v>1.1364634732334304</v>
      </c>
      <c r="AW16" s="111">
        <f>AW15*AX15*AY15*AZ15*BA15*BB15*BC15</f>
        <v>1.1252113596370599</v>
      </c>
      <c r="AX16" s="111">
        <f>AX15*AY15*AZ15*BA15*BB15*BC15</f>
        <v>1.114070653106</v>
      </c>
      <c r="AY16" s="111">
        <f>AY15*AZ15*BA15*BB15*BC15</f>
        <v>1.1030402506</v>
      </c>
      <c r="AZ16" s="111">
        <f>AZ15*BA15*BB15*BC15</f>
        <v>1.09211906</v>
      </c>
      <c r="BA16" s="111">
        <f>BA15*BB15*BC15</f>
        <v>1.081306</v>
      </c>
      <c r="BB16" s="112">
        <f>BC15*BB15</f>
        <v>1.0706</v>
      </c>
      <c r="BC16" s="140">
        <f>BC15*BD15</f>
        <v>1.1554000000000002</v>
      </c>
      <c r="BD16" s="140">
        <f>BD15</f>
        <v>1.09</v>
      </c>
      <c r="BE16" s="30"/>
      <c r="BF16" s="30"/>
      <c r="BG16" s="141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</row>
    <row r="17" spans="7:118" ht="12.75">
      <c r="G17" s="86" t="s">
        <v>114</v>
      </c>
      <c r="BA17" s="10">
        <v>3</v>
      </c>
      <c r="BB17" s="10">
        <v>2</v>
      </c>
      <c r="BC17" s="10">
        <v>1</v>
      </c>
      <c r="BD17" s="10"/>
      <c r="BE17" s="30"/>
      <c r="BF17" s="30"/>
      <c r="BG17" s="141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</row>
    <row r="18" spans="1:118" s="15" customFormat="1" ht="12.75">
      <c r="A18" s="10" t="s">
        <v>155</v>
      </c>
      <c r="B18" s="10"/>
      <c r="F18" s="94"/>
      <c r="G18" s="81">
        <v>18</v>
      </c>
      <c r="H18" s="81">
        <v>19</v>
      </c>
      <c r="I18" s="81">
        <v>20</v>
      </c>
      <c r="J18" s="81">
        <v>21</v>
      </c>
      <c r="K18" s="81">
        <v>22</v>
      </c>
      <c r="L18" s="81">
        <v>23</v>
      </c>
      <c r="M18" s="81">
        <v>24</v>
      </c>
      <c r="N18" s="81">
        <v>25</v>
      </c>
      <c r="O18" s="81">
        <v>26</v>
      </c>
      <c r="P18" s="81">
        <v>27</v>
      </c>
      <c r="Q18" s="81">
        <v>28</v>
      </c>
      <c r="R18" s="81">
        <v>29</v>
      </c>
      <c r="S18" s="81">
        <v>30</v>
      </c>
      <c r="T18" s="81">
        <v>31</v>
      </c>
      <c r="U18" s="81">
        <v>32</v>
      </c>
      <c r="V18" s="81">
        <v>33</v>
      </c>
      <c r="W18" s="81">
        <v>34</v>
      </c>
      <c r="X18" s="81">
        <v>35</v>
      </c>
      <c r="Y18" s="81">
        <v>36</v>
      </c>
      <c r="Z18" s="81">
        <v>37</v>
      </c>
      <c r="AA18" s="81">
        <v>38</v>
      </c>
      <c r="AB18" s="81">
        <v>39</v>
      </c>
      <c r="AC18" s="81">
        <v>40</v>
      </c>
      <c r="AD18" s="81">
        <v>41</v>
      </c>
      <c r="AE18" s="81">
        <v>42</v>
      </c>
      <c r="AF18" s="81">
        <v>43</v>
      </c>
      <c r="AG18" s="81">
        <v>44</v>
      </c>
      <c r="AH18" s="81">
        <v>45</v>
      </c>
      <c r="AI18" s="81">
        <v>46</v>
      </c>
      <c r="AJ18" s="81">
        <v>47</v>
      </c>
      <c r="AK18" s="81">
        <v>48</v>
      </c>
      <c r="AL18" s="81">
        <v>49</v>
      </c>
      <c r="AM18" s="81">
        <v>50</v>
      </c>
      <c r="AN18" s="81">
        <v>51</v>
      </c>
      <c r="AO18" s="81">
        <v>52</v>
      </c>
      <c r="AP18" s="81">
        <v>53</v>
      </c>
      <c r="AQ18" s="81">
        <v>54</v>
      </c>
      <c r="AR18" s="81">
        <v>55</v>
      </c>
      <c r="AS18" s="81">
        <v>56</v>
      </c>
      <c r="AT18" s="81">
        <v>57</v>
      </c>
      <c r="AU18" s="81">
        <v>58</v>
      </c>
      <c r="AV18" s="81">
        <v>59</v>
      </c>
      <c r="AW18" s="81">
        <v>60</v>
      </c>
      <c r="AX18" s="81">
        <v>61</v>
      </c>
      <c r="AY18" s="81">
        <v>62</v>
      </c>
      <c r="AZ18" s="81">
        <v>63</v>
      </c>
      <c r="BA18" s="81">
        <v>64</v>
      </c>
      <c r="BB18" s="81">
        <v>65</v>
      </c>
      <c r="BC18" s="81">
        <v>66</v>
      </c>
      <c r="BD18" s="81">
        <v>67</v>
      </c>
      <c r="BE18" s="142"/>
      <c r="BF18" s="142"/>
      <c r="BG18" s="142"/>
      <c r="BH18" s="142"/>
      <c r="BI18" s="142"/>
      <c r="BJ18" s="142"/>
      <c r="BK18" s="142"/>
      <c r="BL18" s="142"/>
      <c r="BM18" s="142"/>
      <c r="BN18" s="142"/>
      <c r="BO18" s="142"/>
      <c r="BP18" s="142"/>
      <c r="BQ18" s="142"/>
      <c r="BR18" s="142"/>
      <c r="BS18" s="142"/>
      <c r="BT18" s="142"/>
      <c r="BU18" s="142"/>
      <c r="BV18" s="142"/>
      <c r="BW18" s="142"/>
      <c r="BX18" s="142"/>
      <c r="BY18" s="142"/>
      <c r="BZ18" s="142"/>
      <c r="CA18" s="142"/>
      <c r="CB18" s="142"/>
      <c r="CC18" s="142"/>
      <c r="CD18" s="142"/>
      <c r="CE18" s="142"/>
      <c r="CF18" s="149"/>
      <c r="CG18" s="149"/>
      <c r="CH18" s="149"/>
      <c r="CI18" s="149"/>
      <c r="CJ18" s="149"/>
      <c r="CK18" s="149"/>
      <c r="CL18" s="149"/>
      <c r="CM18" s="149"/>
      <c r="CN18" s="149"/>
      <c r="CO18" s="149"/>
      <c r="CP18" s="149"/>
      <c r="CQ18" s="149"/>
      <c r="CR18" s="149"/>
      <c r="CS18" s="149"/>
      <c r="CT18" s="149"/>
      <c r="CU18" s="149"/>
      <c r="CV18" s="149"/>
      <c r="CW18" s="149"/>
      <c r="CX18" s="149"/>
      <c r="CY18" s="149"/>
      <c r="CZ18" s="149"/>
      <c r="DA18" s="149"/>
      <c r="DB18" s="149"/>
      <c r="DC18" s="149"/>
      <c r="DD18" s="149"/>
      <c r="DE18" s="149"/>
      <c r="DF18" s="149"/>
      <c r="DG18" s="149"/>
      <c r="DH18" s="149"/>
      <c r="DI18" s="149"/>
      <c r="DJ18" s="149"/>
      <c r="DK18" s="149"/>
      <c r="DL18" s="149"/>
      <c r="DM18" s="149"/>
      <c r="DN18" s="149"/>
    </row>
    <row r="19" spans="1:118" s="15" customFormat="1" ht="12.75">
      <c r="A19" s="10"/>
      <c r="B19" s="10"/>
      <c r="F19" s="94" t="s">
        <v>333</v>
      </c>
      <c r="G19" s="4">
        <f>'Premie x PG lft'!L39</f>
        <v>0</v>
      </c>
      <c r="H19" s="4">
        <f>'Premie x PG lft'!M39</f>
        <v>0</v>
      </c>
      <c r="I19" s="4">
        <f>'Premie x PG lft'!N39</f>
        <v>0</v>
      </c>
      <c r="J19" s="4">
        <f>'Premie x PG lft'!O39</f>
        <v>1517.9640000000002</v>
      </c>
      <c r="K19" s="4">
        <f>'Premie x PG lft'!P39</f>
        <v>1517.9640000000002</v>
      </c>
      <c r="L19" s="4">
        <f>'Premie x PG lft'!Q39</f>
        <v>1517.9640000000002</v>
      </c>
      <c r="M19" s="4">
        <f>'Premie x PG lft'!R39</f>
        <v>1517.9640000000002</v>
      </c>
      <c r="N19" s="4">
        <f>'Premie x PG lft'!S39</f>
        <v>1763.517</v>
      </c>
      <c r="O19" s="4">
        <f>'Premie x PG lft'!T39</f>
        <v>1763.517</v>
      </c>
      <c r="P19" s="4">
        <f>'Premie x PG lft'!U39</f>
        <v>1763.517</v>
      </c>
      <c r="Q19" s="4">
        <f>'Premie x PG lft'!V39</f>
        <v>1763.517</v>
      </c>
      <c r="R19" s="4">
        <f>'Premie x PG lft'!W39</f>
        <v>1763.517</v>
      </c>
      <c r="S19" s="4">
        <f>'Premie x PG lft'!X39</f>
        <v>2053.716</v>
      </c>
      <c r="T19" s="4">
        <f>'Premie x PG lft'!Y39</f>
        <v>2053.716</v>
      </c>
      <c r="U19" s="4">
        <f>'Premie x PG lft'!Z39</f>
        <v>2053.716</v>
      </c>
      <c r="V19" s="4">
        <f>'Premie x PG lft'!AA39</f>
        <v>2053.716</v>
      </c>
      <c r="W19" s="4">
        <f>'Premie x PG lft'!AB39</f>
        <v>2053.716</v>
      </c>
      <c r="X19" s="4">
        <f>'Premie x PG lft'!AC39</f>
        <v>2366.238</v>
      </c>
      <c r="Y19" s="4">
        <f>'Premie x PG lft'!AD39</f>
        <v>2366.238</v>
      </c>
      <c r="Z19" s="4">
        <f>'Premie x PG lft'!AE39</f>
        <v>2366.238</v>
      </c>
      <c r="AA19" s="4">
        <f>'Premie x PG lft'!AF39</f>
        <v>2366.238</v>
      </c>
      <c r="AB19" s="4">
        <f>'Premie x PG lft'!AG39</f>
        <v>2366.238</v>
      </c>
      <c r="AC19" s="4">
        <f>'Premie x PG lft'!AH39</f>
        <v>2768.052</v>
      </c>
      <c r="AD19" s="4">
        <f>'Premie x PG lft'!AI39</f>
        <v>2768.052</v>
      </c>
      <c r="AE19" s="4">
        <f>'Premie x PG lft'!AJ39</f>
        <v>2768.052</v>
      </c>
      <c r="AF19" s="4">
        <f>'Premie x PG lft'!AK39</f>
        <v>2768.052</v>
      </c>
      <c r="AG19" s="4">
        <f>'Premie x PG lft'!AL39</f>
        <v>2768.052</v>
      </c>
      <c r="AH19" s="4">
        <f>'Premie x PG lft'!AM39</f>
        <v>3236.8349999999996</v>
      </c>
      <c r="AI19" s="4">
        <f>'Premie x PG lft'!AN39</f>
        <v>3236.8349999999996</v>
      </c>
      <c r="AJ19" s="4">
        <f>'Premie x PG lft'!AO39</f>
        <v>3236.8349999999996</v>
      </c>
      <c r="AK19" s="4">
        <f>'Premie x PG lft'!AP39</f>
        <v>3236.8349999999996</v>
      </c>
      <c r="AL19" s="4">
        <f>'Premie x PG lft'!AQ39</f>
        <v>3236.8349999999996</v>
      </c>
      <c r="AM19" s="4">
        <f>'Premie x PG lft'!AR39</f>
        <v>3750.264</v>
      </c>
      <c r="AN19" s="4">
        <f>'Premie x PG lft'!AS39</f>
        <v>3750.264</v>
      </c>
      <c r="AO19" s="4">
        <f>'Premie x PG lft'!AT39</f>
        <v>3750.264</v>
      </c>
      <c r="AP19" s="4">
        <f>'Premie x PG lft'!AU39</f>
        <v>3750.264</v>
      </c>
      <c r="AQ19" s="4">
        <f>'Premie x PG lft'!AV39</f>
        <v>3750.264</v>
      </c>
      <c r="AR19" s="4">
        <f>'Premie x PG lft'!AW39</f>
        <v>4419.954000000001</v>
      </c>
      <c r="AS19" s="4">
        <f>'Premie x PG lft'!AX39</f>
        <v>4419.954000000001</v>
      </c>
      <c r="AT19" s="4">
        <f>'Premie x PG lft'!AY39</f>
        <v>4419.954000000001</v>
      </c>
      <c r="AU19" s="4">
        <f>'Premie x PG lft'!AZ39</f>
        <v>4419.954000000001</v>
      </c>
      <c r="AV19" s="4">
        <f>'Premie x PG lft'!BA39</f>
        <v>4419.954000000001</v>
      </c>
      <c r="AW19" s="4">
        <f>'Premie x PG lft'!BB39</f>
        <v>5245.905</v>
      </c>
      <c r="AX19" s="4">
        <f>'Premie x PG lft'!BC39</f>
        <v>5245.905</v>
      </c>
      <c r="AY19" s="4">
        <f>'Premie x PG lft'!BD39</f>
        <v>5245.905</v>
      </c>
      <c r="AZ19" s="4">
        <f>'Premie x PG lft'!BE39</f>
        <v>5245.905</v>
      </c>
      <c r="BA19" s="4">
        <f>'Premie x PG lft'!BF39</f>
        <v>5245.905</v>
      </c>
      <c r="BB19" s="4">
        <f>'Premie x PG lft'!BG39</f>
        <v>8036.28</v>
      </c>
      <c r="BC19" s="4">
        <f>'Premie x PG lft'!BH39</f>
        <v>8036.28</v>
      </c>
      <c r="BD19" s="4">
        <f>'Premie x PG lft'!BI39</f>
        <v>8036.28</v>
      </c>
      <c r="BE19" s="143"/>
      <c r="BF19" s="143"/>
      <c r="BG19" s="143"/>
      <c r="BH19" s="142"/>
      <c r="BI19" s="142"/>
      <c r="BJ19" s="142"/>
      <c r="BK19" s="142"/>
      <c r="BL19" s="142"/>
      <c r="BM19" s="142"/>
      <c r="BN19" s="142"/>
      <c r="BO19" s="142"/>
      <c r="BP19" s="142"/>
      <c r="BQ19" s="142"/>
      <c r="BR19" s="142"/>
      <c r="BS19" s="142"/>
      <c r="BT19" s="142"/>
      <c r="BU19" s="142"/>
      <c r="BV19" s="142"/>
      <c r="BW19" s="142"/>
      <c r="BX19" s="142"/>
      <c r="BY19" s="142"/>
      <c r="BZ19" s="142"/>
      <c r="CA19" s="142"/>
      <c r="CB19" s="142"/>
      <c r="CC19" s="142"/>
      <c r="CD19" s="142"/>
      <c r="CE19" s="142"/>
      <c r="CF19" s="149"/>
      <c r="CG19" s="149"/>
      <c r="CH19" s="149"/>
      <c r="CI19" s="149"/>
      <c r="CJ19" s="149"/>
      <c r="CK19" s="149"/>
      <c r="CL19" s="149"/>
      <c r="CM19" s="149"/>
      <c r="CN19" s="149"/>
      <c r="CO19" s="149"/>
      <c r="CP19" s="149"/>
      <c r="CQ19" s="149"/>
      <c r="CR19" s="149"/>
      <c r="CS19" s="149"/>
      <c r="CT19" s="149"/>
      <c r="CU19" s="149"/>
      <c r="CV19" s="149"/>
      <c r="CW19" s="149"/>
      <c r="CX19" s="149"/>
      <c r="CY19" s="149"/>
      <c r="CZ19" s="149"/>
      <c r="DA19" s="149"/>
      <c r="DB19" s="149"/>
      <c r="DC19" s="149"/>
      <c r="DD19" s="149"/>
      <c r="DE19" s="149"/>
      <c r="DF19" s="149"/>
      <c r="DG19" s="149"/>
      <c r="DH19" s="149"/>
      <c r="DI19" s="149"/>
      <c r="DJ19" s="149"/>
      <c r="DK19" s="149"/>
      <c r="DL19" s="149"/>
      <c r="DM19" s="149"/>
      <c r="DN19" s="149"/>
    </row>
    <row r="20" spans="1:118" ht="12.75">
      <c r="A20" t="s">
        <v>23</v>
      </c>
      <c r="B20" s="10"/>
      <c r="F20" s="82">
        <v>1</v>
      </c>
      <c r="G20" s="91">
        <f aca="true" t="shared" si="9" ref="G20:AL20">G19*G16</f>
        <v>0</v>
      </c>
      <c r="H20" s="91">
        <f t="shared" si="9"/>
        <v>0</v>
      </c>
      <c r="I20" s="91">
        <f t="shared" si="9"/>
        <v>0</v>
      </c>
      <c r="J20" s="91">
        <f t="shared" si="9"/>
        <v>8095.671878958307</v>
      </c>
      <c r="K20" s="91">
        <f t="shared" si="9"/>
        <v>7754.474979845119</v>
      </c>
      <c r="L20" s="91">
        <f t="shared" si="9"/>
        <v>7427.658026671572</v>
      </c>
      <c r="M20" s="91">
        <f t="shared" si="9"/>
        <v>7114.614968076219</v>
      </c>
      <c r="N20" s="91">
        <f t="shared" si="9"/>
        <v>8392.18302663261</v>
      </c>
      <c r="O20" s="91">
        <f t="shared" si="9"/>
        <v>7583.480650105373</v>
      </c>
      <c r="P20" s="91">
        <f t="shared" si="9"/>
        <v>7263.870354507065</v>
      </c>
      <c r="Q20" s="91">
        <f t="shared" si="9"/>
        <v>6957.730224623625</v>
      </c>
      <c r="R20" s="91">
        <f t="shared" si="9"/>
        <v>6664.49255232148</v>
      </c>
      <c r="S20" s="91">
        <f t="shared" si="9"/>
        <v>7880.126505921608</v>
      </c>
      <c r="T20" s="91">
        <f t="shared" si="9"/>
        <v>7120.767825057479</v>
      </c>
      <c r="U20" s="91">
        <f t="shared" si="9"/>
        <v>6820.6588362619505</v>
      </c>
      <c r="V20" s="91">
        <f t="shared" si="9"/>
        <v>6533.198119024859</v>
      </c>
      <c r="W20" s="91">
        <f t="shared" si="9"/>
        <v>6257.8526044299415</v>
      </c>
      <c r="X20" s="91">
        <f t="shared" si="9"/>
        <v>6906.259121164142</v>
      </c>
      <c r="Y20" s="91">
        <f t="shared" si="9"/>
        <v>6615.19072908443</v>
      </c>
      <c r="Z20" s="91">
        <f t="shared" si="9"/>
        <v>6336.389587245619</v>
      </c>
      <c r="AA20" s="91">
        <f t="shared" si="9"/>
        <v>6069.338685101171</v>
      </c>
      <c r="AB20" s="91">
        <f t="shared" si="9"/>
        <v>5813.542801821043</v>
      </c>
      <c r="AC20" s="91">
        <f t="shared" si="9"/>
        <v>6514.12661232026</v>
      </c>
      <c r="AD20" s="91">
        <f t="shared" si="9"/>
        <v>6239.5848777014</v>
      </c>
      <c r="AE20" s="91">
        <f t="shared" si="9"/>
        <v>5976.613867530077</v>
      </c>
      <c r="AF20" s="91">
        <f t="shared" si="9"/>
        <v>5724.725926752947</v>
      </c>
      <c r="AG20" s="91">
        <f t="shared" si="9"/>
        <v>5483.453952828495</v>
      </c>
      <c r="AH20" s="91">
        <f t="shared" si="9"/>
        <v>6141.861506304311</v>
      </c>
      <c r="AI20" s="91">
        <f t="shared" si="9"/>
        <v>5883.009105655473</v>
      </c>
      <c r="AJ20" s="91">
        <f t="shared" si="9"/>
        <v>5635.066193156583</v>
      </c>
      <c r="AK20" s="91">
        <f t="shared" si="9"/>
        <v>5397.572981950749</v>
      </c>
      <c r="AL20" s="91">
        <f t="shared" si="9"/>
        <v>5170.089063171215</v>
      </c>
      <c r="AM20" s="91">
        <f aca="true" t="shared" si="10" ref="AM20:BD20">AM19*AM16</f>
        <v>5737.71279305565</v>
      </c>
      <c r="AN20" s="91">
        <f t="shared" si="10"/>
        <v>5495.893479938363</v>
      </c>
      <c r="AO20" s="91">
        <f t="shared" si="10"/>
        <v>5264.26578538157</v>
      </c>
      <c r="AP20" s="91">
        <f t="shared" si="10"/>
        <v>5066.66581846157</v>
      </c>
      <c r="AQ20" s="91">
        <f t="shared" si="10"/>
        <v>4876.482982157428</v>
      </c>
      <c r="AR20" s="91">
        <f t="shared" si="10"/>
        <v>5531.552949649222</v>
      </c>
      <c r="AS20" s="91">
        <f t="shared" si="10"/>
        <v>5323.920067034862</v>
      </c>
      <c r="AT20" s="91">
        <f t="shared" si="10"/>
        <v>5124.080911486872</v>
      </c>
      <c r="AU20" s="91">
        <f t="shared" si="10"/>
        <v>5073.3474371157145</v>
      </c>
      <c r="AV20" s="91">
        <f t="shared" si="10"/>
        <v>5023.116274371994</v>
      </c>
      <c r="AW20" s="91">
        <f t="shared" si="10"/>
        <v>5902.75189757685</v>
      </c>
      <c r="AX20" s="91">
        <f t="shared" si="10"/>
        <v>5844.308809482031</v>
      </c>
      <c r="AY20" s="91">
        <f t="shared" si="10"/>
        <v>5786.444365823793</v>
      </c>
      <c r="AZ20" s="91">
        <f t="shared" si="10"/>
        <v>5729.152837449299</v>
      </c>
      <c r="BA20" s="91">
        <f t="shared" si="10"/>
        <v>5672.42855193</v>
      </c>
      <c r="BB20" s="91">
        <f t="shared" si="10"/>
        <v>8603.641368</v>
      </c>
      <c r="BC20" s="102">
        <f t="shared" si="10"/>
        <v>9285.117912000002</v>
      </c>
      <c r="BD20" s="102">
        <f t="shared" si="10"/>
        <v>8759.5452</v>
      </c>
      <c r="BE20" s="100"/>
      <c r="BF20" s="144"/>
      <c r="BG20" s="141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</row>
    <row r="21" spans="1:118" ht="13.5" thickBot="1">
      <c r="A21" t="s">
        <v>64</v>
      </c>
      <c r="B21" s="10"/>
      <c r="C21" s="10"/>
      <c r="D21" s="10"/>
      <c r="E21" s="10"/>
      <c r="F21" s="82"/>
      <c r="G21" s="19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4"/>
      <c r="BA21" s="84"/>
      <c r="BB21" s="84"/>
      <c r="BC21" s="83"/>
      <c r="BD21" s="83"/>
      <c r="BE21" s="100"/>
      <c r="BF21" s="144"/>
      <c r="BG21" s="141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</row>
    <row r="22" spans="1:118" ht="13.5" thickBot="1">
      <c r="A22" t="s">
        <v>72</v>
      </c>
      <c r="B22" s="37">
        <f>VLOOKUP(F15,'Premie x PG lft'!A3:H56,5)</f>
        <v>1763.517</v>
      </c>
      <c r="C22" s="10"/>
      <c r="D22" s="10"/>
      <c r="E22" s="10"/>
      <c r="F22" s="82"/>
      <c r="G22" s="122">
        <f aca="true" t="shared" si="11" ref="G22:AZ22">H22+G20</f>
        <v>299874.0350051403</v>
      </c>
      <c r="H22" s="123">
        <f t="shared" si="11"/>
        <v>299874.0350051403</v>
      </c>
      <c r="I22" s="123">
        <f t="shared" si="11"/>
        <v>299874.0350051403</v>
      </c>
      <c r="J22" s="123">
        <f t="shared" si="11"/>
        <v>299874.0350051403</v>
      </c>
      <c r="K22" s="123">
        <f t="shared" si="11"/>
        <v>291778.363126182</v>
      </c>
      <c r="L22" s="123">
        <f t="shared" si="11"/>
        <v>284023.8881463369</v>
      </c>
      <c r="M22" s="123">
        <f t="shared" si="11"/>
        <v>276596.2301196653</v>
      </c>
      <c r="N22" s="123">
        <f t="shared" si="11"/>
        <v>269481.6151515891</v>
      </c>
      <c r="O22" s="123">
        <f t="shared" si="11"/>
        <v>261089.43212495648</v>
      </c>
      <c r="P22" s="123">
        <f t="shared" si="11"/>
        <v>253505.9514748511</v>
      </c>
      <c r="Q22" s="123">
        <f t="shared" si="11"/>
        <v>246242.08112034405</v>
      </c>
      <c r="R22" s="123">
        <f t="shared" si="11"/>
        <v>239284.35089572042</v>
      </c>
      <c r="S22" s="123">
        <f t="shared" si="11"/>
        <v>232619.85834339893</v>
      </c>
      <c r="T22" s="123">
        <f t="shared" si="11"/>
        <v>224739.73183747733</v>
      </c>
      <c r="U22" s="123">
        <f t="shared" si="11"/>
        <v>217618.96401241986</v>
      </c>
      <c r="V22" s="123">
        <f t="shared" si="11"/>
        <v>210798.3051761579</v>
      </c>
      <c r="W22" s="123">
        <f t="shared" si="11"/>
        <v>204265.10705713305</v>
      </c>
      <c r="X22" s="123">
        <f t="shared" si="11"/>
        <v>198007.2544527031</v>
      </c>
      <c r="Y22" s="123">
        <f t="shared" si="11"/>
        <v>191100.99533153896</v>
      </c>
      <c r="Z22" s="123">
        <f t="shared" si="11"/>
        <v>184485.80460245453</v>
      </c>
      <c r="AA22" s="123">
        <f t="shared" si="11"/>
        <v>178149.4150152089</v>
      </c>
      <c r="AB22" s="123">
        <f t="shared" si="11"/>
        <v>172080.07633010775</v>
      </c>
      <c r="AC22" s="123">
        <f t="shared" si="11"/>
        <v>166266.5335282867</v>
      </c>
      <c r="AD22" s="123">
        <f t="shared" si="11"/>
        <v>159752.40691596645</v>
      </c>
      <c r="AE22" s="123">
        <f t="shared" si="11"/>
        <v>153512.82203826506</v>
      </c>
      <c r="AF22" s="123">
        <f t="shared" si="11"/>
        <v>147536.208170735</v>
      </c>
      <c r="AG22" s="123">
        <f t="shared" si="11"/>
        <v>141811.48224398203</v>
      </c>
      <c r="AH22" s="123">
        <f t="shared" si="11"/>
        <v>136328.02829115355</v>
      </c>
      <c r="AI22" s="123">
        <f t="shared" si="11"/>
        <v>130186.16678484924</v>
      </c>
      <c r="AJ22" s="123">
        <f t="shared" si="11"/>
        <v>124303.15767919377</v>
      </c>
      <c r="AK22" s="123">
        <f t="shared" si="11"/>
        <v>118668.09148603718</v>
      </c>
      <c r="AL22" s="123">
        <f t="shared" si="11"/>
        <v>113270.51850408643</v>
      </c>
      <c r="AM22" s="123">
        <f t="shared" si="11"/>
        <v>108100.42944091522</v>
      </c>
      <c r="AN22" s="123">
        <f t="shared" si="11"/>
        <v>102362.71664785958</v>
      </c>
      <c r="AO22" s="123">
        <f t="shared" si="11"/>
        <v>96866.82316792122</v>
      </c>
      <c r="AP22" s="123">
        <f t="shared" si="11"/>
        <v>91602.55738253964</v>
      </c>
      <c r="AQ22" s="123">
        <f t="shared" si="11"/>
        <v>86535.89156407808</v>
      </c>
      <c r="AR22" s="123">
        <f t="shared" si="11"/>
        <v>81659.40858192065</v>
      </c>
      <c r="AS22" s="123">
        <f t="shared" si="11"/>
        <v>76127.85563227143</v>
      </c>
      <c r="AT22" s="123">
        <f t="shared" si="11"/>
        <v>70803.93556523656</v>
      </c>
      <c r="AU22" s="123">
        <f t="shared" si="11"/>
        <v>65679.85465374969</v>
      </c>
      <c r="AV22" s="123">
        <f t="shared" si="11"/>
        <v>60606.50721663397</v>
      </c>
      <c r="AW22" s="123">
        <f t="shared" si="11"/>
        <v>55583.390942261976</v>
      </c>
      <c r="AX22" s="123">
        <f t="shared" si="11"/>
        <v>49680.63904468513</v>
      </c>
      <c r="AY22" s="123">
        <f t="shared" si="11"/>
        <v>43836.330235203095</v>
      </c>
      <c r="AZ22" s="123">
        <f t="shared" si="11"/>
        <v>38049.8858693793</v>
      </c>
      <c r="BA22" s="123">
        <f>BB22+BA20</f>
        <v>32320.73303193</v>
      </c>
      <c r="BB22" s="123">
        <f>BC22+BB20</f>
        <v>26648.304480000003</v>
      </c>
      <c r="BC22" s="123">
        <f>SUM(BD22+BC20)</f>
        <v>18044.663112000002</v>
      </c>
      <c r="BD22" s="123">
        <f>SUM(BD20)</f>
        <v>8759.5452</v>
      </c>
      <c r="BE22" s="100"/>
      <c r="BF22" s="144"/>
      <c r="BG22" s="141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</row>
    <row r="23" spans="1:118" ht="12.75">
      <c r="A23" t="s">
        <v>102</v>
      </c>
      <c r="B23" s="37">
        <f>B22*C23/100</f>
        <v>881.7585</v>
      </c>
      <c r="C23" s="10">
        <v>50</v>
      </c>
      <c r="D23" s="10"/>
      <c r="E23" s="10"/>
      <c r="F23" s="82"/>
      <c r="G23" s="20">
        <f aca="true" t="shared" si="12" ref="G23:AL23">G24</f>
        <v>0</v>
      </c>
      <c r="H23" s="20">
        <f t="shared" si="12"/>
        <v>0</v>
      </c>
      <c r="I23" s="20">
        <f t="shared" si="12"/>
        <v>0</v>
      </c>
      <c r="J23" s="20">
        <f t="shared" si="12"/>
        <v>13533.207849550601</v>
      </c>
      <c r="K23" s="20">
        <f t="shared" si="12"/>
        <v>12767.17721655717</v>
      </c>
      <c r="L23" s="20">
        <f t="shared" si="12"/>
        <v>12044.5068080728</v>
      </c>
      <c r="M23" s="20">
        <f t="shared" si="12"/>
        <v>11362.742271766789</v>
      </c>
      <c r="N23" s="20">
        <f t="shared" si="12"/>
        <v>13574.44141262262</v>
      </c>
      <c r="O23" s="20">
        <f t="shared" si="12"/>
        <v>11748.694315927487</v>
      </c>
      <c r="P23" s="20">
        <f t="shared" si="12"/>
        <v>11083.673882950457</v>
      </c>
      <c r="Q23" s="20">
        <f t="shared" si="12"/>
        <v>10456.296115990994</v>
      </c>
      <c r="R23" s="20">
        <f t="shared" si="12"/>
        <v>9864.430298104715</v>
      </c>
      <c r="S23" s="20">
        <f t="shared" si="12"/>
        <v>11812.814309695974</v>
      </c>
      <c r="T23" s="20">
        <f t="shared" si="12"/>
        <v>10224.004076247164</v>
      </c>
      <c r="U23" s="20">
        <f t="shared" si="12"/>
        <v>9645.286864384114</v>
      </c>
      <c r="V23" s="20">
        <f t="shared" si="12"/>
        <v>9099.327230551053</v>
      </c>
      <c r="W23" s="20">
        <f t="shared" si="12"/>
        <v>8584.270972217972</v>
      </c>
      <c r="X23" s="20">
        <f t="shared" si="12"/>
        <v>9330.729317628233</v>
      </c>
      <c r="Y23" s="20">
        <f t="shared" si="12"/>
        <v>8802.574827951159</v>
      </c>
      <c r="Z23" s="20">
        <f t="shared" si="12"/>
        <v>8304.315875425622</v>
      </c>
      <c r="AA23" s="20">
        <f t="shared" si="12"/>
        <v>7834.260259835492</v>
      </c>
      <c r="AB23" s="20">
        <f t="shared" si="12"/>
        <v>7390.811565882541</v>
      </c>
      <c r="AC23" s="20">
        <f t="shared" si="12"/>
        <v>8156.467018239895</v>
      </c>
      <c r="AD23" s="20">
        <f t="shared" si="12"/>
        <v>7694.780205886695</v>
      </c>
      <c r="AE23" s="20">
        <f t="shared" si="12"/>
        <v>7259.22660932707</v>
      </c>
      <c r="AF23" s="20">
        <f t="shared" si="12"/>
        <v>6848.326989931202</v>
      </c>
      <c r="AG23" s="20">
        <f t="shared" si="12"/>
        <v>6460.685839557735</v>
      </c>
      <c r="AH23" s="20">
        <f t="shared" si="12"/>
        <v>7127.20212063201</v>
      </c>
      <c r="AI23" s="20">
        <f t="shared" si="12"/>
        <v>6723.775585501895</v>
      </c>
      <c r="AJ23" s="20">
        <f t="shared" si="12"/>
        <v>6343.1845146244295</v>
      </c>
      <c r="AK23" s="20">
        <f t="shared" si="12"/>
        <v>5984.136334551349</v>
      </c>
      <c r="AL23" s="20">
        <f t="shared" si="12"/>
        <v>5645.411636369196</v>
      </c>
      <c r="AM23" s="20">
        <f aca="true" t="shared" si="13" ref="AM23:BD23">AM24</f>
        <v>6170.651625959826</v>
      </c>
      <c r="AN23" s="20">
        <f t="shared" si="13"/>
        <v>5821.369458452663</v>
      </c>
      <c r="AO23" s="20">
        <f t="shared" si="13"/>
        <v>5491.857979672325</v>
      </c>
      <c r="AP23" s="20">
        <f t="shared" si="13"/>
        <v>5270.4971014129815</v>
      </c>
      <c r="AQ23" s="20">
        <f t="shared" si="13"/>
        <v>5058.0586385921115</v>
      </c>
      <c r="AR23" s="20">
        <f t="shared" si="13"/>
        <v>5721.001339235661</v>
      </c>
      <c r="AS23" s="20">
        <f t="shared" si="13"/>
        <v>5490.404356272227</v>
      </c>
      <c r="AT23" s="20">
        <f t="shared" si="13"/>
        <v>5269.102069359143</v>
      </c>
      <c r="AU23" s="20">
        <f t="shared" si="13"/>
        <v>5216.932741939745</v>
      </c>
      <c r="AV23" s="20">
        <f t="shared" si="13"/>
        <v>5165.279942514599</v>
      </c>
      <c r="AW23" s="20">
        <f t="shared" si="13"/>
        <v>6069.810913546007</v>
      </c>
      <c r="AX23" s="20">
        <f t="shared" si="13"/>
        <v>6009.7137757881255</v>
      </c>
      <c r="AY23" s="20">
        <f t="shared" si="13"/>
        <v>5950.211659196164</v>
      </c>
      <c r="AZ23" s="20">
        <f t="shared" si="13"/>
        <v>5891.29867247145</v>
      </c>
      <c r="BA23" s="20">
        <f t="shared" si="13"/>
        <v>5832.968982645</v>
      </c>
      <c r="BB23" s="20">
        <f t="shared" si="13"/>
        <v>8847.140652</v>
      </c>
      <c r="BC23" s="20">
        <f t="shared" si="13"/>
        <v>8847.140652</v>
      </c>
      <c r="BD23" s="20">
        <f t="shared" si="13"/>
        <v>8116.6428</v>
      </c>
      <c r="BE23" s="100"/>
      <c r="BF23" s="144"/>
      <c r="BG23" s="141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</row>
    <row r="24" spans="1:118" ht="13.5" thickBot="1">
      <c r="A24" t="s">
        <v>31</v>
      </c>
      <c r="B24" s="37">
        <f>B22*C24/100</f>
        <v>881.7585</v>
      </c>
      <c r="C24" s="37">
        <v>50</v>
      </c>
      <c r="D24" s="37"/>
      <c r="E24" s="37"/>
      <c r="F24" s="82"/>
      <c r="G24" s="156">
        <f aca="true" t="shared" si="14" ref="G24:AT24">G19*G13</f>
        <v>0</v>
      </c>
      <c r="H24" s="156">
        <f t="shared" si="14"/>
        <v>0</v>
      </c>
      <c r="I24" s="156">
        <f t="shared" si="14"/>
        <v>0</v>
      </c>
      <c r="J24" s="156">
        <f t="shared" si="14"/>
        <v>13533.207849550601</v>
      </c>
      <c r="K24" s="156">
        <f t="shared" si="14"/>
        <v>12767.17721655717</v>
      </c>
      <c r="L24" s="156">
        <f t="shared" si="14"/>
        <v>12044.5068080728</v>
      </c>
      <c r="M24" s="156">
        <f t="shared" si="14"/>
        <v>11362.742271766789</v>
      </c>
      <c r="N24" s="156">
        <f t="shared" si="14"/>
        <v>13574.44141262262</v>
      </c>
      <c r="O24" s="156">
        <f t="shared" si="14"/>
        <v>11748.694315927487</v>
      </c>
      <c r="P24" s="156">
        <f t="shared" si="14"/>
        <v>11083.673882950457</v>
      </c>
      <c r="Q24" s="156">
        <f t="shared" si="14"/>
        <v>10456.296115990994</v>
      </c>
      <c r="R24" s="156">
        <f t="shared" si="14"/>
        <v>9864.430298104715</v>
      </c>
      <c r="S24" s="156">
        <f t="shared" si="14"/>
        <v>11812.814309695974</v>
      </c>
      <c r="T24" s="156">
        <f t="shared" si="14"/>
        <v>10224.004076247164</v>
      </c>
      <c r="U24" s="156">
        <f t="shared" si="14"/>
        <v>9645.286864384114</v>
      </c>
      <c r="V24" s="156">
        <f t="shared" si="14"/>
        <v>9099.327230551053</v>
      </c>
      <c r="W24" s="156">
        <f t="shared" si="14"/>
        <v>8584.270972217972</v>
      </c>
      <c r="X24" s="156">
        <f t="shared" si="14"/>
        <v>9330.729317628233</v>
      </c>
      <c r="Y24" s="156">
        <f t="shared" si="14"/>
        <v>8802.574827951159</v>
      </c>
      <c r="Z24" s="156">
        <f t="shared" si="14"/>
        <v>8304.315875425622</v>
      </c>
      <c r="AA24" s="156">
        <f t="shared" si="14"/>
        <v>7834.260259835492</v>
      </c>
      <c r="AB24" s="156">
        <f t="shared" si="14"/>
        <v>7390.811565882541</v>
      </c>
      <c r="AC24" s="156">
        <f t="shared" si="14"/>
        <v>8156.467018239895</v>
      </c>
      <c r="AD24" s="156">
        <f t="shared" si="14"/>
        <v>7694.780205886695</v>
      </c>
      <c r="AE24" s="156">
        <f t="shared" si="14"/>
        <v>7259.22660932707</v>
      </c>
      <c r="AF24" s="156">
        <f t="shared" si="14"/>
        <v>6848.326989931202</v>
      </c>
      <c r="AG24" s="156">
        <f t="shared" si="14"/>
        <v>6460.685839557735</v>
      </c>
      <c r="AH24" s="156">
        <f t="shared" si="14"/>
        <v>7127.20212063201</v>
      </c>
      <c r="AI24" s="156">
        <f t="shared" si="14"/>
        <v>6723.775585501895</v>
      </c>
      <c r="AJ24" s="156">
        <f t="shared" si="14"/>
        <v>6343.1845146244295</v>
      </c>
      <c r="AK24" s="156">
        <f t="shared" si="14"/>
        <v>5984.136334551349</v>
      </c>
      <c r="AL24" s="156">
        <f t="shared" si="14"/>
        <v>5645.411636369196</v>
      </c>
      <c r="AM24" s="156">
        <f t="shared" si="14"/>
        <v>6170.651625959826</v>
      </c>
      <c r="AN24" s="156">
        <f t="shared" si="14"/>
        <v>5821.369458452663</v>
      </c>
      <c r="AO24" s="156">
        <f t="shared" si="14"/>
        <v>5491.857979672325</v>
      </c>
      <c r="AP24" s="156">
        <f t="shared" si="14"/>
        <v>5270.4971014129815</v>
      </c>
      <c r="AQ24" s="156">
        <f t="shared" si="14"/>
        <v>5058.0586385921115</v>
      </c>
      <c r="AR24" s="156">
        <f t="shared" si="14"/>
        <v>5721.001339235661</v>
      </c>
      <c r="AS24" s="156">
        <f t="shared" si="14"/>
        <v>5490.404356272227</v>
      </c>
      <c r="AT24" s="156">
        <f t="shared" si="14"/>
        <v>5269.102069359143</v>
      </c>
      <c r="AU24" s="156">
        <f aca="true" t="shared" si="15" ref="AU24:BD24">AU19*AU13</f>
        <v>5216.932741939745</v>
      </c>
      <c r="AV24" s="156">
        <f t="shared" si="15"/>
        <v>5165.279942514599</v>
      </c>
      <c r="AW24" s="156">
        <f t="shared" si="15"/>
        <v>6069.810913546007</v>
      </c>
      <c r="AX24" s="156">
        <f t="shared" si="15"/>
        <v>6009.7137757881255</v>
      </c>
      <c r="AY24" s="156">
        <f t="shared" si="15"/>
        <v>5950.211659196164</v>
      </c>
      <c r="AZ24" s="156">
        <f t="shared" si="15"/>
        <v>5891.29867247145</v>
      </c>
      <c r="BA24" s="156">
        <f t="shared" si="15"/>
        <v>5832.968982645</v>
      </c>
      <c r="BB24" s="156">
        <f t="shared" si="15"/>
        <v>8847.140652</v>
      </c>
      <c r="BC24" s="156">
        <f t="shared" si="15"/>
        <v>8847.140652</v>
      </c>
      <c r="BD24" s="156">
        <f t="shared" si="15"/>
        <v>8116.6428</v>
      </c>
      <c r="BE24" s="100"/>
      <c r="BF24" s="144"/>
      <c r="BG24" s="141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0"/>
      <c r="DI24" s="30"/>
      <c r="DJ24" s="30"/>
      <c r="DK24" s="30"/>
      <c r="DL24" s="30"/>
      <c r="DM24" s="30"/>
      <c r="DN24" s="30"/>
    </row>
    <row r="25" spans="3:118" ht="13.5" thickBot="1">
      <c r="C25" s="37"/>
      <c r="D25" s="37"/>
      <c r="E25" s="37"/>
      <c r="F25" s="82"/>
      <c r="G25" s="124">
        <f aca="true" t="shared" si="16" ref="G25:AY25">H25+G23</f>
        <v>375946.84568704246</v>
      </c>
      <c r="H25" s="125">
        <f t="shared" si="16"/>
        <v>375946.84568704246</v>
      </c>
      <c r="I25" s="125">
        <f t="shared" si="16"/>
        <v>375946.84568704246</v>
      </c>
      <c r="J25" s="125">
        <f t="shared" si="16"/>
        <v>375946.84568704246</v>
      </c>
      <c r="K25" s="125">
        <f t="shared" si="16"/>
        <v>362413.6378374919</v>
      </c>
      <c r="L25" s="125">
        <f t="shared" si="16"/>
        <v>349646.4606209347</v>
      </c>
      <c r="M25" s="125">
        <f t="shared" si="16"/>
        <v>337601.95381286193</v>
      </c>
      <c r="N25" s="125">
        <f t="shared" si="16"/>
        <v>326239.21154109517</v>
      </c>
      <c r="O25" s="125">
        <f t="shared" si="16"/>
        <v>312664.77012847253</v>
      </c>
      <c r="P25" s="125">
        <f t="shared" si="16"/>
        <v>300916.075812545</v>
      </c>
      <c r="Q25" s="125">
        <f t="shared" si="16"/>
        <v>289832.4019295946</v>
      </c>
      <c r="R25" s="125">
        <f t="shared" si="16"/>
        <v>279376.10581360356</v>
      </c>
      <c r="S25" s="125">
        <f t="shared" si="16"/>
        <v>269511.67551549885</v>
      </c>
      <c r="T25" s="125">
        <f t="shared" si="16"/>
        <v>257698.86120580285</v>
      </c>
      <c r="U25" s="125">
        <f t="shared" si="16"/>
        <v>247474.8571295557</v>
      </c>
      <c r="V25" s="125">
        <f t="shared" si="16"/>
        <v>237829.57026517158</v>
      </c>
      <c r="W25" s="125">
        <f t="shared" si="16"/>
        <v>228730.24303462054</v>
      </c>
      <c r="X25" s="125">
        <f t="shared" si="16"/>
        <v>220145.97206240255</v>
      </c>
      <c r="Y25" s="125">
        <f t="shared" si="16"/>
        <v>210815.24274477432</v>
      </c>
      <c r="Z25" s="125">
        <f t="shared" si="16"/>
        <v>202012.66791682318</v>
      </c>
      <c r="AA25" s="125">
        <f t="shared" si="16"/>
        <v>193708.35204139756</v>
      </c>
      <c r="AB25" s="125">
        <f t="shared" si="16"/>
        <v>185874.09178156208</v>
      </c>
      <c r="AC25" s="125">
        <f t="shared" si="16"/>
        <v>178483.28021567952</v>
      </c>
      <c r="AD25" s="125">
        <f t="shared" si="16"/>
        <v>170326.81319743962</v>
      </c>
      <c r="AE25" s="125">
        <f t="shared" si="16"/>
        <v>162632.03299155293</v>
      </c>
      <c r="AF25" s="125">
        <f t="shared" si="16"/>
        <v>155372.80638222586</v>
      </c>
      <c r="AG25" s="125">
        <f t="shared" si="16"/>
        <v>148524.47939229466</v>
      </c>
      <c r="AH25" s="125">
        <f t="shared" si="16"/>
        <v>142063.79355273693</v>
      </c>
      <c r="AI25" s="125">
        <f t="shared" si="16"/>
        <v>134936.5914321049</v>
      </c>
      <c r="AJ25" s="125">
        <f t="shared" si="16"/>
        <v>128212.81584660301</v>
      </c>
      <c r="AK25" s="125">
        <f t="shared" si="16"/>
        <v>121869.63133197858</v>
      </c>
      <c r="AL25" s="125">
        <f t="shared" si="16"/>
        <v>115885.49499742723</v>
      </c>
      <c r="AM25" s="125">
        <f t="shared" si="16"/>
        <v>110240.08336105803</v>
      </c>
      <c r="AN25" s="125">
        <f t="shared" si="16"/>
        <v>104069.4317350982</v>
      </c>
      <c r="AO25" s="125">
        <f t="shared" si="16"/>
        <v>98248.06227664553</v>
      </c>
      <c r="AP25" s="125">
        <f t="shared" si="16"/>
        <v>92756.20429697321</v>
      </c>
      <c r="AQ25" s="125">
        <f t="shared" si="16"/>
        <v>87485.70719556023</v>
      </c>
      <c r="AR25" s="125">
        <f t="shared" si="16"/>
        <v>82427.64855696812</v>
      </c>
      <c r="AS25" s="125">
        <f t="shared" si="16"/>
        <v>76706.64721773246</v>
      </c>
      <c r="AT25" s="125">
        <f t="shared" si="16"/>
        <v>71216.24286146024</v>
      </c>
      <c r="AU25" s="125">
        <f t="shared" si="16"/>
        <v>65947.1407921011</v>
      </c>
      <c r="AV25" s="125">
        <f t="shared" si="16"/>
        <v>60730.20805016136</v>
      </c>
      <c r="AW25" s="125">
        <f t="shared" si="16"/>
        <v>55564.92810764676</v>
      </c>
      <c r="AX25" s="125">
        <f t="shared" si="16"/>
        <v>49495.11719410075</v>
      </c>
      <c r="AY25" s="125">
        <f t="shared" si="16"/>
        <v>43485.40341831262</v>
      </c>
      <c r="AZ25" s="125">
        <f>BA25+AZ23</f>
        <v>37535.19175911645</v>
      </c>
      <c r="BA25" s="125">
        <f>BB25+BA23</f>
        <v>31643.893086645</v>
      </c>
      <c r="BB25" s="125">
        <f>BC25+BB23</f>
        <v>25810.924103999998</v>
      </c>
      <c r="BC25" s="125">
        <f>BD25+BC23</f>
        <v>16963.783452</v>
      </c>
      <c r="BD25" s="125">
        <f>SUM(BD23)</f>
        <v>8116.6428</v>
      </c>
      <c r="BE25" s="100"/>
      <c r="BF25" s="144"/>
      <c r="BG25" s="141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</row>
    <row r="26" spans="3:118" ht="12.75">
      <c r="C26" s="37"/>
      <c r="D26" s="37"/>
      <c r="E26" s="37"/>
      <c r="F26" s="82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100"/>
      <c r="BF26" s="144"/>
      <c r="BG26" s="141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30"/>
      <c r="DJ26" s="30"/>
      <c r="DK26" s="30"/>
      <c r="DL26" s="30"/>
      <c r="DM26" s="30"/>
      <c r="DN26" s="30"/>
    </row>
    <row r="27" spans="2:118" ht="13.5" thickBot="1">
      <c r="B27" t="s">
        <v>194</v>
      </c>
      <c r="C27" t="s">
        <v>66</v>
      </c>
      <c r="D27" t="s">
        <v>203</v>
      </c>
      <c r="F27" s="82"/>
      <c r="G27" s="157">
        <f>G19*G10</f>
        <v>0</v>
      </c>
      <c r="H27" s="157">
        <f aca="true" t="shared" si="17" ref="H27:BD27">H19*H10</f>
        <v>0</v>
      </c>
      <c r="I27" s="157">
        <f t="shared" si="17"/>
        <v>0</v>
      </c>
      <c r="J27" s="157">
        <f t="shared" si="17"/>
        <v>13861.029452850466</v>
      </c>
      <c r="K27" s="157">
        <f t="shared" si="17"/>
        <v>13039.538525729506</v>
      </c>
      <c r="L27" s="157">
        <f t="shared" si="17"/>
        <v>12266.734266913933</v>
      </c>
      <c r="M27" s="157">
        <f t="shared" si="17"/>
        <v>11539.73120123606</v>
      </c>
      <c r="N27" s="157">
        <f t="shared" si="17"/>
        <v>12738.02158910167</v>
      </c>
      <c r="O27" s="157">
        <f t="shared" si="17"/>
        <v>11864.442674945438</v>
      </c>
      <c r="P27" s="157">
        <f t="shared" si="17"/>
        <v>11161.2819143419</v>
      </c>
      <c r="Q27" s="157">
        <f t="shared" si="17"/>
        <v>10499.794839456163</v>
      </c>
      <c r="R27" s="157">
        <f t="shared" si="17"/>
        <v>9877.51160814314</v>
      </c>
      <c r="S27" s="157">
        <f t="shared" si="17"/>
        <v>10929.40184370317</v>
      </c>
      <c r="T27" s="157">
        <f t="shared" si="17"/>
        <v>10179.858837498177</v>
      </c>
      <c r="U27" s="157">
        <f t="shared" si="17"/>
        <v>9576.53700611306</v>
      </c>
      <c r="V27" s="157">
        <f t="shared" si="17"/>
        <v>9008.971783737587</v>
      </c>
      <c r="W27" s="157">
        <f t="shared" si="17"/>
        <v>8475.044011041948</v>
      </c>
      <c r="X27" s="157">
        <f t="shared" si="17"/>
        <v>9186.006228991435</v>
      </c>
      <c r="Y27" s="157">
        <f t="shared" si="17"/>
        <v>8641.586292560147</v>
      </c>
      <c r="Z27" s="157">
        <f t="shared" si="17"/>
        <v>8129.432072022715</v>
      </c>
      <c r="AA27" s="157">
        <f t="shared" si="17"/>
        <v>7647.631300115444</v>
      </c>
      <c r="AB27" s="157">
        <f t="shared" si="17"/>
        <v>7194.3850424416205</v>
      </c>
      <c r="AC27" s="157">
        <f t="shared" si="17"/>
        <v>7917.284166055142</v>
      </c>
      <c r="AD27" s="157">
        <f t="shared" si="17"/>
        <v>7448.056600240022</v>
      </c>
      <c r="AE27" s="157">
        <f t="shared" si="17"/>
        <v>7006.6383821637055</v>
      </c>
      <c r="AF27" s="157">
        <f t="shared" si="17"/>
        <v>6591.3813566921035</v>
      </c>
      <c r="AG27" s="157">
        <f t="shared" si="17"/>
        <v>6200.7350486285095</v>
      </c>
      <c r="AH27" s="157">
        <f t="shared" si="17"/>
        <v>6821.128440894104</v>
      </c>
      <c r="AI27" s="157">
        <f t="shared" si="17"/>
        <v>6416.865889834529</v>
      </c>
      <c r="AJ27" s="157">
        <f t="shared" si="17"/>
        <v>6036.562455159482</v>
      </c>
      <c r="AK27" s="157">
        <f t="shared" si="17"/>
        <v>5678.798170422844</v>
      </c>
      <c r="AL27" s="157">
        <f t="shared" si="17"/>
        <v>5342.237225233154</v>
      </c>
      <c r="AM27" s="157">
        <f t="shared" si="17"/>
        <v>5822.79076030214</v>
      </c>
      <c r="AN27" s="157">
        <f t="shared" si="17"/>
        <v>5477.695917499659</v>
      </c>
      <c r="AO27" s="157">
        <f t="shared" si="17"/>
        <v>5187.212043086801</v>
      </c>
      <c r="AP27" s="157">
        <f t="shared" si="17"/>
        <v>4959.093731440535</v>
      </c>
      <c r="AQ27" s="157">
        <f t="shared" si="17"/>
        <v>4741.007391434548</v>
      </c>
      <c r="AR27" s="157">
        <f t="shared" si="17"/>
        <v>5341.888961941411</v>
      </c>
      <c r="AS27" s="157">
        <f t="shared" si="17"/>
        <v>5106.9684148579445</v>
      </c>
      <c r="AT27" s="157">
        <f t="shared" si="17"/>
        <v>4882.378981699756</v>
      </c>
      <c r="AU27" s="157">
        <f t="shared" si="17"/>
        <v>4834.038595742332</v>
      </c>
      <c r="AV27" s="157">
        <f t="shared" si="17"/>
        <v>4786.176827467655</v>
      </c>
      <c r="AW27" s="157">
        <f t="shared" si="17"/>
        <v>5624.320204294923</v>
      </c>
      <c r="AX27" s="157">
        <f t="shared" si="17"/>
        <v>5568.633865638538</v>
      </c>
      <c r="AY27" s="157">
        <f t="shared" si="17"/>
        <v>5513.4988768698395</v>
      </c>
      <c r="AZ27" s="157">
        <f t="shared" si="17"/>
        <v>5458.90977907905</v>
      </c>
      <c r="BA27" s="157">
        <f t="shared" si="17"/>
        <v>5404.861167404999</v>
      </c>
      <c r="BB27" s="157">
        <f t="shared" si="17"/>
        <v>8197.809228</v>
      </c>
      <c r="BC27" s="158">
        <f t="shared" si="17"/>
        <v>8197.809228</v>
      </c>
      <c r="BD27" s="158">
        <f t="shared" si="17"/>
        <v>8116.6428</v>
      </c>
      <c r="BE27" s="100"/>
      <c r="BF27" s="144"/>
      <c r="BG27" s="141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30"/>
      <c r="DI27" s="30"/>
      <c r="DJ27" s="30"/>
      <c r="DK27" s="30"/>
      <c r="DL27" s="30"/>
      <c r="DM27" s="30"/>
      <c r="DN27" s="30"/>
    </row>
    <row r="28" spans="1:118" ht="13.5" thickBot="1">
      <c r="A28" s="27" t="s">
        <v>296</v>
      </c>
      <c r="B28" s="29">
        <f>HLOOKUP(F15,G18:BC22,5,FALSE)</f>
        <v>261089.43212495648</v>
      </c>
      <c r="C28" s="41">
        <f>IF('Premie x PG lft'!L2="ja",A33,B33)</f>
        <v>24300</v>
      </c>
      <c r="D28" s="41">
        <f>B28/C28*1000</f>
        <v>10744.421075101089</v>
      </c>
      <c r="E28" s="41"/>
      <c r="F28" s="82"/>
      <c r="G28" s="19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4"/>
      <c r="AT28" s="84"/>
      <c r="AU28" s="84"/>
      <c r="AV28" s="83"/>
      <c r="AW28" s="83"/>
      <c r="AX28" s="83"/>
      <c r="AY28" s="83"/>
      <c r="AZ28" s="83"/>
      <c r="BA28" s="83"/>
      <c r="BB28" s="83"/>
      <c r="BC28" s="83"/>
      <c r="BD28" s="83"/>
      <c r="BE28" s="100"/>
      <c r="BF28" s="144"/>
      <c r="BG28" s="141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</row>
    <row r="29" spans="1:118" ht="13.5" thickBot="1">
      <c r="A29" s="28" t="s">
        <v>324</v>
      </c>
      <c r="B29" s="29">
        <f>HLOOKUP(F15,G18:BC25,8)</f>
        <v>312664.77012847253</v>
      </c>
      <c r="C29" s="41">
        <f>IF('Premie x PG lft'!L2="ja",A33,B33)</f>
        <v>24300</v>
      </c>
      <c r="D29" s="41">
        <f>B29/C29*1000</f>
        <v>12866.8629682499</v>
      </c>
      <c r="E29" s="41"/>
      <c r="F29" s="82"/>
      <c r="G29" s="132">
        <f aca="true" t="shared" si="18" ref="G29:AY29">H29+G27</f>
        <v>364498.3650010274</v>
      </c>
      <c r="H29" s="132">
        <f t="shared" si="18"/>
        <v>364498.3650010274</v>
      </c>
      <c r="I29" s="132">
        <f t="shared" si="18"/>
        <v>364498.3650010274</v>
      </c>
      <c r="J29" s="132">
        <f t="shared" si="18"/>
        <v>364498.3650010274</v>
      </c>
      <c r="K29" s="132">
        <f t="shared" si="18"/>
        <v>350637.33554817695</v>
      </c>
      <c r="L29" s="131">
        <f t="shared" si="18"/>
        <v>337597.79702244746</v>
      </c>
      <c r="M29" s="131">
        <f t="shared" si="18"/>
        <v>325331.06275553355</v>
      </c>
      <c r="N29" s="131">
        <f t="shared" si="18"/>
        <v>313791.3315542975</v>
      </c>
      <c r="O29" s="131">
        <f t="shared" si="18"/>
        <v>301053.3099651958</v>
      </c>
      <c r="P29" s="131">
        <f t="shared" si="18"/>
        <v>289188.8672902503</v>
      </c>
      <c r="Q29" s="131">
        <f t="shared" si="18"/>
        <v>278027.5853759084</v>
      </c>
      <c r="R29" s="131">
        <f t="shared" si="18"/>
        <v>267527.79053645226</v>
      </c>
      <c r="S29" s="131">
        <f t="shared" si="18"/>
        <v>257650.2789283091</v>
      </c>
      <c r="T29" s="131">
        <f t="shared" si="18"/>
        <v>246720.87708460592</v>
      </c>
      <c r="U29" s="131">
        <f t="shared" si="18"/>
        <v>236541.01824710774</v>
      </c>
      <c r="V29" s="131">
        <f t="shared" si="18"/>
        <v>226964.48124099468</v>
      </c>
      <c r="W29" s="131">
        <f t="shared" si="18"/>
        <v>217955.50945725708</v>
      </c>
      <c r="X29" s="131">
        <f t="shared" si="18"/>
        <v>209480.46544621512</v>
      </c>
      <c r="Y29" s="131">
        <f t="shared" si="18"/>
        <v>200294.4592172237</v>
      </c>
      <c r="Z29" s="131">
        <f t="shared" si="18"/>
        <v>191652.87292466353</v>
      </c>
      <c r="AA29" s="131">
        <f t="shared" si="18"/>
        <v>183523.4408526408</v>
      </c>
      <c r="AB29" s="131">
        <f t="shared" si="18"/>
        <v>175875.80955252537</v>
      </c>
      <c r="AC29" s="131">
        <f t="shared" si="18"/>
        <v>168681.42451008374</v>
      </c>
      <c r="AD29" s="131">
        <f t="shared" si="18"/>
        <v>160764.1403440286</v>
      </c>
      <c r="AE29" s="131">
        <f t="shared" si="18"/>
        <v>153316.08374378856</v>
      </c>
      <c r="AF29" s="131">
        <f t="shared" si="18"/>
        <v>146309.44536162485</v>
      </c>
      <c r="AG29" s="131">
        <f t="shared" si="18"/>
        <v>139718.06400493273</v>
      </c>
      <c r="AH29" s="131">
        <f t="shared" si="18"/>
        <v>133517.32895630423</v>
      </c>
      <c r="AI29" s="131">
        <f t="shared" si="18"/>
        <v>126696.20051541012</v>
      </c>
      <c r="AJ29" s="131">
        <f t="shared" si="18"/>
        <v>120279.33462557559</v>
      </c>
      <c r="AK29" s="131">
        <f t="shared" si="18"/>
        <v>114242.77217041611</v>
      </c>
      <c r="AL29" s="131">
        <f t="shared" si="18"/>
        <v>108563.97399999326</v>
      </c>
      <c r="AM29" s="131">
        <f t="shared" si="18"/>
        <v>103221.73677476011</v>
      </c>
      <c r="AN29" s="131">
        <f t="shared" si="18"/>
        <v>97398.94601445796</v>
      </c>
      <c r="AO29" s="131">
        <f t="shared" si="18"/>
        <v>91921.2500969583</v>
      </c>
      <c r="AP29" s="131">
        <f t="shared" si="18"/>
        <v>86734.03805387151</v>
      </c>
      <c r="AQ29" s="131">
        <f t="shared" si="18"/>
        <v>81774.94432243098</v>
      </c>
      <c r="AR29" s="131">
        <f t="shared" si="18"/>
        <v>77033.93693099644</v>
      </c>
      <c r="AS29" s="131">
        <f t="shared" si="18"/>
        <v>71692.04796905503</v>
      </c>
      <c r="AT29" s="131">
        <f t="shared" si="18"/>
        <v>66585.07955419709</v>
      </c>
      <c r="AU29" s="131">
        <f t="shared" si="18"/>
        <v>61702.700572497335</v>
      </c>
      <c r="AV29" s="131">
        <f t="shared" si="18"/>
        <v>56868.661976755</v>
      </c>
      <c r="AW29" s="131">
        <f t="shared" si="18"/>
        <v>52082.48514928734</v>
      </c>
      <c r="AX29" s="131">
        <f t="shared" si="18"/>
        <v>46458.164944992415</v>
      </c>
      <c r="AY29" s="131">
        <f t="shared" si="18"/>
        <v>40889.53107935388</v>
      </c>
      <c r="AZ29" s="131">
        <f>BA29+AZ27</f>
        <v>35376.03220248404</v>
      </c>
      <c r="BA29" s="131">
        <f>BB29+BA27</f>
        <v>29917.122423404995</v>
      </c>
      <c r="BB29" s="131">
        <f>BC29+BB27</f>
        <v>24512.261255999998</v>
      </c>
      <c r="BC29" s="131">
        <f>BD29+BC27</f>
        <v>16314.452028</v>
      </c>
      <c r="BD29" s="131">
        <f>SUM(BD27)</f>
        <v>8116.6428</v>
      </c>
      <c r="BE29" s="100"/>
      <c r="BF29" s="144"/>
      <c r="BG29" s="141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</row>
    <row r="30" spans="1:118" s="78" customFormat="1" ht="13.5" thickBot="1">
      <c r="A30" s="155" t="s">
        <v>85</v>
      </c>
      <c r="B30" s="76">
        <f>HLOOKUP(F15,Berekening!G18:BC29,12)</f>
        <v>301053.3099651958</v>
      </c>
      <c r="C30" s="77">
        <f>IF('Premie x PG lft'!L2="ja",A33,B33)</f>
        <v>24300</v>
      </c>
      <c r="D30" s="77">
        <f>B30/C30*1000</f>
        <v>12389.025101448386</v>
      </c>
      <c r="E30" s="77"/>
      <c r="F30" s="82"/>
      <c r="G30" s="18"/>
      <c r="H30" s="100"/>
      <c r="I30" s="100"/>
      <c r="J30" s="100"/>
      <c r="K30" s="100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4"/>
      <c r="AR30" s="84"/>
      <c r="AS30" s="84"/>
      <c r="AT30" s="83"/>
      <c r="AU30" s="83"/>
      <c r="AV30" s="83"/>
      <c r="AW30" s="83"/>
      <c r="AX30" s="83"/>
      <c r="AY30" s="83"/>
      <c r="AZ30" s="83"/>
      <c r="BA30" s="83"/>
      <c r="BB30" s="83"/>
      <c r="BC30" s="83"/>
      <c r="BD30" s="83"/>
      <c r="BE30" s="100"/>
      <c r="BF30" s="144"/>
      <c r="BG30" s="141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0"/>
      <c r="DI30" s="30"/>
      <c r="DJ30" s="30"/>
      <c r="DK30" s="30"/>
      <c r="DL30" s="30"/>
      <c r="DM30" s="30"/>
      <c r="DN30" s="30"/>
    </row>
    <row r="31" spans="1:118" ht="13.5" thickBot="1">
      <c r="A31" s="1"/>
      <c r="B31" s="1"/>
      <c r="C31" s="1"/>
      <c r="D31" s="1"/>
      <c r="E31" s="1"/>
      <c r="F31" s="82"/>
      <c r="G31" s="18"/>
      <c r="H31" s="100"/>
      <c r="I31" s="100"/>
      <c r="J31" s="100"/>
      <c r="K31" s="100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4"/>
      <c r="AQ31" s="84"/>
      <c r="AR31" s="84"/>
      <c r="AS31" s="83"/>
      <c r="AT31" s="83"/>
      <c r="AU31" s="83"/>
      <c r="AV31" s="83"/>
      <c r="AW31" s="83"/>
      <c r="AX31" s="83"/>
      <c r="AY31" s="83"/>
      <c r="AZ31" s="83"/>
      <c r="BA31" s="83"/>
      <c r="BB31" s="83"/>
      <c r="BC31" s="83"/>
      <c r="BD31" s="83"/>
      <c r="BE31" s="100"/>
      <c r="BF31" s="144"/>
      <c r="BG31" s="141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</row>
    <row r="32" spans="1:118" ht="12.75">
      <c r="A32" s="43" t="s">
        <v>254</v>
      </c>
      <c r="B32" s="42" t="s">
        <v>299</v>
      </c>
      <c r="C32" s="12"/>
      <c r="D32" s="12"/>
      <c r="E32" s="12"/>
      <c r="F32" s="82"/>
      <c r="G32" s="18"/>
      <c r="H32" s="100"/>
      <c r="I32" s="100"/>
      <c r="J32" s="100"/>
      <c r="K32" s="100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4"/>
      <c r="AP32" s="84"/>
      <c r="AQ32" s="84"/>
      <c r="AR32" s="83"/>
      <c r="AS32" s="83"/>
      <c r="AT32" s="83"/>
      <c r="AU32" s="83"/>
      <c r="AV32" s="83"/>
      <c r="AW32" s="83"/>
      <c r="AX32" s="83"/>
      <c r="AY32" s="83"/>
      <c r="AZ32" s="83"/>
      <c r="BA32" s="83"/>
      <c r="BB32" s="83"/>
      <c r="BC32" s="83"/>
      <c r="BD32" s="83"/>
      <c r="BE32" s="100"/>
      <c r="BF32" s="144"/>
      <c r="BG32" s="141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0"/>
      <c r="DM32" s="30"/>
      <c r="DN32" s="30"/>
    </row>
    <row r="33" spans="1:118" s="8" customFormat="1" ht="13.5" thickBot="1">
      <c r="A33" s="74">
        <v>24300</v>
      </c>
      <c r="B33" s="75">
        <v>21040</v>
      </c>
      <c r="C33" s="30"/>
      <c r="D33" s="30"/>
      <c r="E33" s="30"/>
      <c r="F33" s="82"/>
      <c r="G33" s="18"/>
      <c r="H33" s="100"/>
      <c r="I33" s="100"/>
      <c r="J33" s="100"/>
      <c r="K33" s="100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  <c r="AM33" s="83"/>
      <c r="AN33" s="84"/>
      <c r="AO33" s="84"/>
      <c r="AP33" s="84"/>
      <c r="AQ33" s="83"/>
      <c r="AR33" s="83"/>
      <c r="AS33" s="83"/>
      <c r="AT33" s="83"/>
      <c r="AU33" s="83"/>
      <c r="AV33" s="83"/>
      <c r="AW33" s="83"/>
      <c r="AX33" s="83"/>
      <c r="AY33" s="83"/>
      <c r="AZ33" s="83"/>
      <c r="BA33" s="83"/>
      <c r="BB33" s="83"/>
      <c r="BC33" s="83"/>
      <c r="BD33" s="83"/>
      <c r="BE33" s="100"/>
      <c r="BF33" s="144"/>
      <c r="BG33" s="141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/>
      <c r="DM33" s="30"/>
      <c r="DN33" s="30"/>
    </row>
    <row r="34" spans="1:118" ht="12.75">
      <c r="A34" s="1"/>
      <c r="B34" s="1"/>
      <c r="C34" s="1"/>
      <c r="D34" s="1"/>
      <c r="E34" s="1"/>
      <c r="F34" s="82"/>
      <c r="G34" s="18"/>
      <c r="H34" s="100"/>
      <c r="I34" s="100"/>
      <c r="J34" s="100"/>
      <c r="K34" s="100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4"/>
      <c r="AN34" s="84"/>
      <c r="AO34" s="84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100"/>
      <c r="BF34" s="144"/>
      <c r="BG34" s="141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/>
      <c r="DM34" s="30"/>
      <c r="DN34" s="30"/>
    </row>
    <row r="35" spans="1:118" ht="12.75">
      <c r="A35" s="62" t="s">
        <v>169</v>
      </c>
      <c r="B35" s="1"/>
      <c r="C35" s="1" t="s">
        <v>113</v>
      </c>
      <c r="D35" s="1"/>
      <c r="E35" s="1"/>
      <c r="F35" s="82"/>
      <c r="G35" s="18"/>
      <c r="H35" s="100"/>
      <c r="I35" s="100"/>
      <c r="J35" s="100"/>
      <c r="K35" s="100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4"/>
      <c r="AM35" s="84"/>
      <c r="AN35" s="84"/>
      <c r="AO35" s="83"/>
      <c r="AP35" s="83"/>
      <c r="AQ35" s="83"/>
      <c r="AR35" s="83"/>
      <c r="AS35" s="83"/>
      <c r="AT35" s="83"/>
      <c r="AU35" s="83"/>
      <c r="AV35" s="83"/>
      <c r="AW35" s="83"/>
      <c r="AX35" s="83"/>
      <c r="AY35" s="83"/>
      <c r="AZ35" s="83"/>
      <c r="BA35" s="83"/>
      <c r="BB35" s="83"/>
      <c r="BC35" s="83"/>
      <c r="BD35" s="83"/>
      <c r="BE35" s="100"/>
      <c r="BF35" s="144"/>
      <c r="BG35" s="141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0"/>
      <c r="DE35" s="30"/>
      <c r="DF35" s="30"/>
      <c r="DG35" s="30"/>
      <c r="DH35" s="30"/>
      <c r="DI35" s="30"/>
      <c r="DJ35" s="30"/>
      <c r="DK35" s="30"/>
      <c r="DL35" s="30"/>
      <c r="DM35" s="30"/>
      <c r="DN35" s="30"/>
    </row>
    <row r="36" spans="1:118" ht="12.75">
      <c r="A36" s="1">
        <v>15</v>
      </c>
      <c r="B36" s="1">
        <v>20</v>
      </c>
      <c r="C36" s="90">
        <v>0</v>
      </c>
      <c r="D36" s="1"/>
      <c r="E36" s="1"/>
      <c r="F36" s="82"/>
      <c r="G36" s="18"/>
      <c r="H36" s="100"/>
      <c r="I36" s="100"/>
      <c r="J36" s="100"/>
      <c r="K36" s="100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4"/>
      <c r="AL36" s="84"/>
      <c r="AM36" s="84"/>
      <c r="AN36" s="83"/>
      <c r="AO36" s="83"/>
      <c r="AP36" s="83"/>
      <c r="AQ36" s="83"/>
      <c r="AR36" s="83"/>
      <c r="AS36" s="83"/>
      <c r="AT36" s="83"/>
      <c r="AU36" s="83"/>
      <c r="AV36" s="83"/>
      <c r="AW36" s="83"/>
      <c r="AX36" s="83"/>
      <c r="AY36" s="83"/>
      <c r="AZ36" s="83"/>
      <c r="BA36" s="83"/>
      <c r="BB36" s="83"/>
      <c r="BC36" s="83"/>
      <c r="BD36" s="83"/>
      <c r="BE36" s="100"/>
      <c r="BF36" s="144"/>
      <c r="BG36" s="141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0"/>
      <c r="DD36" s="30"/>
      <c r="DE36" s="30"/>
      <c r="DF36" s="30"/>
      <c r="DG36" s="30"/>
      <c r="DH36" s="30"/>
      <c r="DI36" s="30"/>
      <c r="DJ36" s="30"/>
      <c r="DK36" s="30"/>
      <c r="DL36" s="30"/>
      <c r="DM36" s="30"/>
      <c r="DN36" s="30"/>
    </row>
    <row r="37" spans="1:118" ht="12.75">
      <c r="A37" s="1">
        <v>21</v>
      </c>
      <c r="B37" s="1">
        <v>24</v>
      </c>
      <c r="C37" s="90">
        <v>0.068</v>
      </c>
      <c r="D37" s="1"/>
      <c r="E37" s="1"/>
      <c r="F37" s="82"/>
      <c r="G37" s="18"/>
      <c r="H37" s="100"/>
      <c r="I37" s="100"/>
      <c r="J37" s="100"/>
      <c r="K37" s="100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4"/>
      <c r="AK37" s="84"/>
      <c r="AL37" s="84"/>
      <c r="AM37" s="83"/>
      <c r="AN37" s="83"/>
      <c r="AO37" s="83"/>
      <c r="AP37" s="83"/>
      <c r="AQ37" s="83"/>
      <c r="AR37" s="83"/>
      <c r="AS37" s="83"/>
      <c r="AT37" s="83"/>
      <c r="AU37" s="83"/>
      <c r="AV37" s="83"/>
      <c r="AW37" s="83"/>
      <c r="AX37" s="83"/>
      <c r="AY37" s="83"/>
      <c r="AZ37" s="83"/>
      <c r="BA37" s="83"/>
      <c r="BB37" s="83"/>
      <c r="BC37" s="83"/>
      <c r="BD37" s="83"/>
      <c r="BE37" s="100"/>
      <c r="BF37" s="144"/>
      <c r="BG37" s="141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H37" s="30"/>
      <c r="CI37" s="30"/>
      <c r="CJ37" s="30"/>
      <c r="CK37" s="30"/>
      <c r="CL37" s="30"/>
      <c r="CM37" s="30"/>
      <c r="CN37" s="30"/>
      <c r="CO37" s="30"/>
      <c r="CP37" s="30"/>
      <c r="CQ37" s="30"/>
      <c r="CR37" s="30"/>
      <c r="CS37" s="30"/>
      <c r="CT37" s="30"/>
      <c r="CU37" s="30"/>
      <c r="CV37" s="30"/>
      <c r="CW37" s="30"/>
      <c r="CX37" s="30"/>
      <c r="CY37" s="30"/>
      <c r="CZ37" s="30"/>
      <c r="DA37" s="30"/>
      <c r="DB37" s="30"/>
      <c r="DC37" s="30"/>
      <c r="DD37" s="30"/>
      <c r="DE37" s="30"/>
      <c r="DF37" s="30"/>
      <c r="DG37" s="30"/>
      <c r="DH37" s="30"/>
      <c r="DI37" s="30"/>
      <c r="DJ37" s="30"/>
      <c r="DK37" s="30"/>
      <c r="DL37" s="30"/>
      <c r="DM37" s="30"/>
      <c r="DN37" s="30"/>
    </row>
    <row r="38" spans="1:118" ht="12.75">
      <c r="A38" s="1">
        <v>25</v>
      </c>
      <c r="B38" s="1">
        <v>29</v>
      </c>
      <c r="C38" s="90">
        <v>0.079</v>
      </c>
      <c r="D38" s="1"/>
      <c r="E38" s="1"/>
      <c r="F38" s="82"/>
      <c r="G38" s="18"/>
      <c r="H38" s="100"/>
      <c r="I38" s="100"/>
      <c r="J38" s="100"/>
      <c r="K38" s="100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4"/>
      <c r="AJ38" s="84"/>
      <c r="AK38" s="84"/>
      <c r="AL38" s="83"/>
      <c r="AM38" s="83"/>
      <c r="AN38" s="83"/>
      <c r="AO38" s="83"/>
      <c r="AP38" s="83"/>
      <c r="AQ38" s="83"/>
      <c r="AR38" s="83"/>
      <c r="AS38" s="83"/>
      <c r="AT38" s="83"/>
      <c r="AU38" s="83"/>
      <c r="AV38" s="83"/>
      <c r="AW38" s="83"/>
      <c r="AX38" s="83"/>
      <c r="AY38" s="83"/>
      <c r="AZ38" s="83"/>
      <c r="BA38" s="83"/>
      <c r="BB38" s="83"/>
      <c r="BC38" s="83"/>
      <c r="BD38" s="83"/>
      <c r="BE38" s="100"/>
      <c r="BF38" s="144"/>
      <c r="BG38" s="141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0"/>
      <c r="CB38" s="30"/>
      <c r="CC38" s="30"/>
      <c r="CD38" s="30"/>
      <c r="CE38" s="30"/>
      <c r="CF38" s="30"/>
      <c r="CG38" s="30"/>
      <c r="CH38" s="30"/>
      <c r="CI38" s="30"/>
      <c r="CJ38" s="30"/>
      <c r="CK38" s="30"/>
      <c r="CL38" s="30"/>
      <c r="CM38" s="30"/>
      <c r="CN38" s="30"/>
      <c r="CO38" s="30"/>
      <c r="CP38" s="30"/>
      <c r="CQ38" s="30"/>
      <c r="CR38" s="30"/>
      <c r="CS38" s="30"/>
      <c r="CT38" s="30"/>
      <c r="CU38" s="30"/>
      <c r="CV38" s="30"/>
      <c r="CW38" s="30"/>
      <c r="CX38" s="30"/>
      <c r="CY38" s="30"/>
      <c r="CZ38" s="30"/>
      <c r="DA38" s="30"/>
      <c r="DB38" s="30"/>
      <c r="DC38" s="30"/>
      <c r="DD38" s="30"/>
      <c r="DE38" s="30"/>
      <c r="DF38" s="30"/>
      <c r="DG38" s="30"/>
      <c r="DH38" s="30"/>
      <c r="DI38" s="30"/>
      <c r="DJ38" s="30"/>
      <c r="DK38" s="30"/>
      <c r="DL38" s="30"/>
      <c r="DM38" s="30"/>
      <c r="DN38" s="30"/>
    </row>
    <row r="39" spans="1:118" ht="12.75">
      <c r="A39" s="1">
        <v>30</v>
      </c>
      <c r="B39" s="1">
        <v>34</v>
      </c>
      <c r="C39" s="90">
        <v>0.092</v>
      </c>
      <c r="D39" s="1"/>
      <c r="E39" s="1"/>
      <c r="F39" s="82"/>
      <c r="G39" s="18"/>
      <c r="H39" s="100"/>
      <c r="I39" s="100"/>
      <c r="J39" s="100"/>
      <c r="K39" s="100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83"/>
      <c r="AG39" s="83"/>
      <c r="AH39" s="84"/>
      <c r="AI39" s="84"/>
      <c r="AJ39" s="84"/>
      <c r="AK39" s="83"/>
      <c r="AL39" s="83"/>
      <c r="AM39" s="83"/>
      <c r="AN39" s="83"/>
      <c r="AO39" s="83"/>
      <c r="AP39" s="83"/>
      <c r="AQ39" s="83"/>
      <c r="AR39" s="83"/>
      <c r="AS39" s="83"/>
      <c r="AT39" s="83"/>
      <c r="AU39" s="83"/>
      <c r="AV39" s="83"/>
      <c r="AW39" s="83"/>
      <c r="AX39" s="83"/>
      <c r="AY39" s="83"/>
      <c r="AZ39" s="83"/>
      <c r="BA39" s="83"/>
      <c r="BB39" s="83"/>
      <c r="BC39" s="83"/>
      <c r="BD39" s="83"/>
      <c r="BE39" s="100"/>
      <c r="BF39" s="144"/>
      <c r="BG39" s="141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0"/>
      <c r="CA39" s="30"/>
      <c r="CB39" s="30"/>
      <c r="CC39" s="30"/>
      <c r="CD39" s="30"/>
      <c r="CE39" s="30"/>
      <c r="CF39" s="30"/>
      <c r="CG39" s="30"/>
      <c r="CH39" s="30"/>
      <c r="CI39" s="30"/>
      <c r="CJ39" s="30"/>
      <c r="CK39" s="30"/>
      <c r="CL39" s="30"/>
      <c r="CM39" s="30"/>
      <c r="CN39" s="30"/>
      <c r="CO39" s="30"/>
      <c r="CP39" s="30"/>
      <c r="CQ39" s="30"/>
      <c r="CR39" s="30"/>
      <c r="CS39" s="30"/>
      <c r="CT39" s="30"/>
      <c r="CU39" s="30"/>
      <c r="CV39" s="30"/>
      <c r="CW39" s="30"/>
      <c r="CX39" s="30"/>
      <c r="CY39" s="30"/>
      <c r="CZ39" s="30"/>
      <c r="DA39" s="30"/>
      <c r="DB39" s="30"/>
      <c r="DC39" s="30"/>
      <c r="DD39" s="30"/>
      <c r="DE39" s="30"/>
      <c r="DF39" s="30"/>
      <c r="DG39" s="30"/>
      <c r="DH39" s="30"/>
      <c r="DI39" s="30"/>
      <c r="DJ39" s="30"/>
      <c r="DK39" s="30"/>
      <c r="DL39" s="30"/>
      <c r="DM39" s="30"/>
      <c r="DN39" s="30"/>
    </row>
    <row r="40" spans="1:118" ht="12.75">
      <c r="A40" s="30">
        <v>35</v>
      </c>
      <c r="B40" s="30">
        <v>39</v>
      </c>
      <c r="C40" s="90">
        <v>0.106</v>
      </c>
      <c r="F40" s="82"/>
      <c r="G40" s="18"/>
      <c r="H40" s="100"/>
      <c r="I40" s="100"/>
      <c r="J40" s="100"/>
      <c r="K40" s="100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4"/>
      <c r="AH40" s="84"/>
      <c r="AI40" s="84"/>
      <c r="AJ40" s="83"/>
      <c r="AK40" s="83"/>
      <c r="AL40" s="83"/>
      <c r="AM40" s="83"/>
      <c r="AN40" s="83"/>
      <c r="AO40" s="83"/>
      <c r="AP40" s="83"/>
      <c r="AQ40" s="83"/>
      <c r="AR40" s="83"/>
      <c r="AS40" s="83"/>
      <c r="AT40" s="83"/>
      <c r="AU40" s="83"/>
      <c r="AV40" s="83"/>
      <c r="AW40" s="83"/>
      <c r="AX40" s="83"/>
      <c r="AY40" s="83"/>
      <c r="AZ40" s="83"/>
      <c r="BA40" s="83"/>
      <c r="BB40" s="83"/>
      <c r="BC40" s="83"/>
      <c r="BD40" s="83"/>
      <c r="BE40" s="100"/>
      <c r="BF40" s="145"/>
      <c r="BG40" s="141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0"/>
      <c r="CA40" s="30"/>
      <c r="CB40" s="30"/>
      <c r="CC40" s="30"/>
      <c r="CD40" s="30"/>
      <c r="CE40" s="30"/>
      <c r="CF40" s="30"/>
      <c r="CG40" s="30"/>
      <c r="CH40" s="30"/>
      <c r="CI40" s="30"/>
      <c r="CJ40" s="30"/>
      <c r="CK40" s="30"/>
      <c r="CL40" s="30"/>
      <c r="CM40" s="30"/>
      <c r="CN40" s="30"/>
      <c r="CO40" s="30"/>
      <c r="CP40" s="30"/>
      <c r="CQ40" s="30"/>
      <c r="CR40" s="30"/>
      <c r="CS40" s="30"/>
      <c r="CT40" s="30"/>
      <c r="CU40" s="30"/>
      <c r="CV40" s="30"/>
      <c r="CW40" s="30"/>
      <c r="CX40" s="30"/>
      <c r="CY40" s="30"/>
      <c r="CZ40" s="30"/>
      <c r="DA40" s="30"/>
      <c r="DB40" s="30"/>
      <c r="DC40" s="30"/>
      <c r="DD40" s="30"/>
      <c r="DE40" s="30"/>
      <c r="DF40" s="30"/>
      <c r="DG40" s="30"/>
      <c r="DH40" s="30"/>
      <c r="DI40" s="30"/>
      <c r="DJ40" s="30"/>
      <c r="DK40" s="30"/>
      <c r="DL40" s="30"/>
      <c r="DM40" s="30"/>
      <c r="DN40" s="30"/>
    </row>
    <row r="41" spans="1:118" ht="12.75">
      <c r="A41" s="30">
        <v>40</v>
      </c>
      <c r="B41" s="30">
        <v>44</v>
      </c>
      <c r="C41" s="90">
        <v>0.124</v>
      </c>
      <c r="F41" s="82"/>
      <c r="G41" s="18"/>
      <c r="H41" s="100"/>
      <c r="I41" s="100"/>
      <c r="J41" s="100"/>
      <c r="K41" s="100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4"/>
      <c r="AH41" s="84"/>
      <c r="AI41" s="83"/>
      <c r="AJ41" s="83"/>
      <c r="AK41" s="83"/>
      <c r="AL41" s="83"/>
      <c r="AM41" s="83"/>
      <c r="AN41" s="83"/>
      <c r="AO41" s="83"/>
      <c r="AP41" s="83"/>
      <c r="AQ41" s="83"/>
      <c r="AR41" s="83"/>
      <c r="AS41" s="83"/>
      <c r="AT41" s="83"/>
      <c r="AU41" s="83"/>
      <c r="AV41" s="83"/>
      <c r="AW41" s="83"/>
      <c r="AX41" s="83"/>
      <c r="AY41" s="83"/>
      <c r="AZ41" s="83"/>
      <c r="BA41" s="83"/>
      <c r="BB41" s="83"/>
      <c r="BC41" s="83"/>
      <c r="BD41" s="83"/>
      <c r="BE41" s="100"/>
      <c r="BF41" s="145"/>
      <c r="BG41" s="141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0"/>
      <c r="CA41" s="30"/>
      <c r="CB41" s="30"/>
      <c r="CC41" s="30"/>
      <c r="CD41" s="30"/>
      <c r="CE41" s="30"/>
      <c r="CF41" s="30"/>
      <c r="CG41" s="30"/>
      <c r="CH41" s="30"/>
      <c r="CI41" s="30"/>
      <c r="CJ41" s="30"/>
      <c r="CK41" s="30"/>
      <c r="CL41" s="30"/>
      <c r="CM41" s="30"/>
      <c r="CN41" s="30"/>
      <c r="CO41" s="30"/>
      <c r="CP41" s="30"/>
      <c r="CQ41" s="30"/>
      <c r="CR41" s="30"/>
      <c r="CS41" s="30"/>
      <c r="CT41" s="30"/>
      <c r="CU41" s="30"/>
      <c r="CV41" s="30"/>
      <c r="CW41" s="30"/>
      <c r="CX41" s="30"/>
      <c r="CY41" s="30"/>
      <c r="CZ41" s="30"/>
      <c r="DA41" s="30"/>
      <c r="DB41" s="30"/>
      <c r="DC41" s="30"/>
      <c r="DD41" s="30"/>
      <c r="DE41" s="30"/>
      <c r="DF41" s="30"/>
      <c r="DG41" s="30"/>
      <c r="DH41" s="30"/>
      <c r="DI41" s="30"/>
      <c r="DJ41" s="30"/>
      <c r="DK41" s="30"/>
      <c r="DL41" s="30"/>
      <c r="DM41" s="30"/>
      <c r="DN41" s="30"/>
    </row>
    <row r="42" spans="1:118" ht="12.75">
      <c r="A42" s="30">
        <v>45</v>
      </c>
      <c r="B42" s="30">
        <v>49</v>
      </c>
      <c r="C42" s="90">
        <v>0.145</v>
      </c>
      <c r="F42" s="82"/>
      <c r="G42" s="18"/>
      <c r="H42" s="100"/>
      <c r="I42" s="100"/>
      <c r="J42" s="100"/>
      <c r="K42" s="100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4"/>
      <c r="AH42" s="83"/>
      <c r="AI42" s="83"/>
      <c r="AJ42" s="83"/>
      <c r="AK42" s="83"/>
      <c r="AL42" s="83"/>
      <c r="AM42" s="83"/>
      <c r="AN42" s="83"/>
      <c r="AO42" s="83"/>
      <c r="AP42" s="83"/>
      <c r="AQ42" s="83"/>
      <c r="AR42" s="83"/>
      <c r="AS42" s="83"/>
      <c r="AT42" s="83"/>
      <c r="AU42" s="83"/>
      <c r="AV42" s="83"/>
      <c r="AW42" s="83"/>
      <c r="AX42" s="83"/>
      <c r="AY42" s="83"/>
      <c r="AZ42" s="83"/>
      <c r="BA42" s="83"/>
      <c r="BB42" s="83"/>
      <c r="BC42" s="83"/>
      <c r="BD42" s="83"/>
      <c r="BE42" s="100"/>
      <c r="BF42" s="145"/>
      <c r="BG42" s="141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0"/>
      <c r="CA42" s="30"/>
      <c r="CB42" s="30"/>
      <c r="CC42" s="30"/>
      <c r="CD42" s="30"/>
      <c r="CE42" s="30"/>
      <c r="CF42" s="30"/>
      <c r="CG42" s="30"/>
      <c r="CH42" s="30"/>
      <c r="CI42" s="30"/>
      <c r="CJ42" s="30"/>
      <c r="CK42" s="30"/>
      <c r="CL42" s="30"/>
      <c r="CM42" s="30"/>
      <c r="CN42" s="30"/>
      <c r="CO42" s="30"/>
      <c r="CP42" s="30"/>
      <c r="CQ42" s="30"/>
      <c r="CR42" s="30"/>
      <c r="CS42" s="30"/>
      <c r="CT42" s="30"/>
      <c r="CU42" s="30"/>
      <c r="CV42" s="30"/>
      <c r="CW42" s="30"/>
      <c r="CX42" s="30"/>
      <c r="CY42" s="30"/>
      <c r="CZ42" s="30"/>
      <c r="DA42" s="30"/>
      <c r="DB42" s="30"/>
      <c r="DC42" s="30"/>
      <c r="DD42" s="30"/>
      <c r="DE42" s="30"/>
      <c r="DF42" s="30"/>
      <c r="DG42" s="30"/>
      <c r="DH42" s="30"/>
      <c r="DI42" s="30"/>
      <c r="DJ42" s="30"/>
      <c r="DK42" s="30"/>
      <c r="DL42" s="30"/>
      <c r="DM42" s="30"/>
      <c r="DN42" s="30"/>
    </row>
    <row r="43" spans="1:118" ht="12.75">
      <c r="A43" s="30">
        <v>50</v>
      </c>
      <c r="B43" s="30">
        <v>54</v>
      </c>
      <c r="C43" s="90">
        <v>0.168</v>
      </c>
      <c r="F43" s="82"/>
      <c r="G43" s="18"/>
      <c r="H43" s="100"/>
      <c r="I43" s="100"/>
      <c r="J43" s="100"/>
      <c r="K43" s="100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4"/>
      <c r="AG43" s="83"/>
      <c r="AH43" s="83"/>
      <c r="AI43" s="83"/>
      <c r="AJ43" s="83"/>
      <c r="AK43" s="83"/>
      <c r="AL43" s="83"/>
      <c r="AM43" s="83"/>
      <c r="AN43" s="83"/>
      <c r="AO43" s="83"/>
      <c r="AP43" s="83"/>
      <c r="AQ43" s="83"/>
      <c r="AR43" s="83"/>
      <c r="AS43" s="83"/>
      <c r="AT43" s="83"/>
      <c r="AU43" s="83"/>
      <c r="AV43" s="83"/>
      <c r="AW43" s="83"/>
      <c r="AX43" s="83"/>
      <c r="AY43" s="83"/>
      <c r="AZ43" s="83"/>
      <c r="BA43" s="83"/>
      <c r="BB43" s="83"/>
      <c r="BC43" s="83"/>
      <c r="BD43" s="83"/>
      <c r="BE43" s="100"/>
      <c r="BF43" s="145"/>
      <c r="BG43" s="141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0"/>
      <c r="CA43" s="30"/>
      <c r="CB43" s="30"/>
      <c r="CC43" s="30"/>
      <c r="CD43" s="30"/>
      <c r="CE43" s="30"/>
      <c r="CF43" s="30"/>
      <c r="CG43" s="30"/>
      <c r="CH43" s="30"/>
      <c r="CI43" s="30"/>
      <c r="CJ43" s="30"/>
      <c r="CK43" s="30"/>
      <c r="CL43" s="30"/>
      <c r="CM43" s="30"/>
      <c r="CN43" s="30"/>
      <c r="CO43" s="30"/>
      <c r="CP43" s="30"/>
      <c r="CQ43" s="30"/>
      <c r="CR43" s="30"/>
      <c r="CS43" s="30"/>
      <c r="CT43" s="30"/>
      <c r="CU43" s="30"/>
      <c r="CV43" s="30"/>
      <c r="CW43" s="30"/>
      <c r="CX43" s="30"/>
      <c r="CY43" s="30"/>
      <c r="CZ43" s="30"/>
      <c r="DA43" s="30"/>
      <c r="DB43" s="30"/>
      <c r="DC43" s="30"/>
      <c r="DD43" s="30"/>
      <c r="DE43" s="30"/>
      <c r="DF43" s="30"/>
      <c r="DG43" s="30"/>
      <c r="DH43" s="30"/>
      <c r="DI43" s="30"/>
      <c r="DJ43" s="30"/>
      <c r="DK43" s="30"/>
      <c r="DL43" s="30"/>
      <c r="DM43" s="30"/>
      <c r="DN43" s="30"/>
    </row>
    <row r="44" spans="1:118" ht="12.75">
      <c r="A44" s="30">
        <v>55</v>
      </c>
      <c r="B44" s="30">
        <v>59</v>
      </c>
      <c r="C44" s="90">
        <v>0.198</v>
      </c>
      <c r="F44" s="82"/>
      <c r="G44" s="18"/>
      <c r="H44" s="100"/>
      <c r="I44" s="100"/>
      <c r="J44" s="100"/>
      <c r="K44" s="100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4"/>
      <c r="AF44" s="83"/>
      <c r="AG44" s="83"/>
      <c r="AH44" s="83"/>
      <c r="AI44" s="83"/>
      <c r="AJ44" s="83"/>
      <c r="AK44" s="83"/>
      <c r="AL44" s="83"/>
      <c r="AM44" s="83"/>
      <c r="AN44" s="83"/>
      <c r="AO44" s="83"/>
      <c r="AP44" s="83"/>
      <c r="AQ44" s="83"/>
      <c r="AR44" s="83"/>
      <c r="AS44" s="83"/>
      <c r="AT44" s="83"/>
      <c r="AU44" s="83"/>
      <c r="AV44" s="83"/>
      <c r="AW44" s="83"/>
      <c r="AX44" s="83"/>
      <c r="AY44" s="83"/>
      <c r="AZ44" s="83"/>
      <c r="BA44" s="83"/>
      <c r="BB44" s="83"/>
      <c r="BC44" s="83"/>
      <c r="BD44" s="83"/>
      <c r="BE44" s="100"/>
      <c r="BF44" s="145"/>
      <c r="BG44" s="141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0"/>
      <c r="BW44" s="30"/>
      <c r="BX44" s="30"/>
      <c r="BY44" s="30"/>
      <c r="BZ44" s="30"/>
      <c r="CA44" s="30"/>
      <c r="CB44" s="30"/>
      <c r="CC44" s="30"/>
      <c r="CD44" s="30"/>
      <c r="CE44" s="30"/>
      <c r="CF44" s="30"/>
      <c r="CG44" s="30"/>
      <c r="CH44" s="30"/>
      <c r="CI44" s="30"/>
      <c r="CJ44" s="30"/>
      <c r="CK44" s="30"/>
      <c r="CL44" s="30"/>
      <c r="CM44" s="30"/>
      <c r="CN44" s="30"/>
      <c r="CO44" s="30"/>
      <c r="CP44" s="30"/>
      <c r="CQ44" s="30"/>
      <c r="CR44" s="30"/>
      <c r="CS44" s="30"/>
      <c r="CT44" s="30"/>
      <c r="CU44" s="30"/>
      <c r="CV44" s="30"/>
      <c r="CW44" s="30"/>
      <c r="CX44" s="30"/>
      <c r="CY44" s="30"/>
      <c r="CZ44" s="30"/>
      <c r="DA44" s="30"/>
      <c r="DB44" s="30"/>
      <c r="DC44" s="30"/>
      <c r="DD44" s="30"/>
      <c r="DE44" s="30"/>
      <c r="DF44" s="30"/>
      <c r="DG44" s="30"/>
      <c r="DH44" s="30"/>
      <c r="DI44" s="30"/>
      <c r="DJ44" s="30"/>
      <c r="DK44" s="30"/>
      <c r="DL44" s="30"/>
      <c r="DM44" s="30"/>
      <c r="DN44" s="30"/>
    </row>
    <row r="45" spans="1:118" ht="12.75">
      <c r="A45" s="30">
        <v>60</v>
      </c>
      <c r="B45" s="30">
        <v>64</v>
      </c>
      <c r="C45" s="90">
        <v>0.235</v>
      </c>
      <c r="F45" s="82"/>
      <c r="G45" s="18"/>
      <c r="H45" s="100"/>
      <c r="I45" s="100"/>
      <c r="J45" s="100"/>
      <c r="K45" s="100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84"/>
      <c r="AE45" s="83"/>
      <c r="AF45" s="83"/>
      <c r="AG45" s="83"/>
      <c r="AH45" s="83"/>
      <c r="AI45" s="83"/>
      <c r="AJ45" s="83"/>
      <c r="AK45" s="83"/>
      <c r="AL45" s="83"/>
      <c r="AM45" s="83"/>
      <c r="AN45" s="83"/>
      <c r="AO45" s="83"/>
      <c r="AP45" s="83"/>
      <c r="AQ45" s="83"/>
      <c r="AR45" s="83"/>
      <c r="AS45" s="83"/>
      <c r="AT45" s="83"/>
      <c r="AU45" s="83"/>
      <c r="AV45" s="83"/>
      <c r="AW45" s="83"/>
      <c r="AX45" s="83"/>
      <c r="AY45" s="83"/>
      <c r="AZ45" s="83"/>
      <c r="BA45" s="83"/>
      <c r="BB45" s="83"/>
      <c r="BC45" s="83"/>
      <c r="BD45" s="83"/>
      <c r="BE45" s="100"/>
      <c r="BF45" s="145"/>
      <c r="BG45" s="141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  <c r="BY45" s="30"/>
      <c r="BZ45" s="30"/>
      <c r="CA45" s="30"/>
      <c r="CB45" s="30"/>
      <c r="CC45" s="30"/>
      <c r="CD45" s="30"/>
      <c r="CE45" s="30"/>
      <c r="CF45" s="30"/>
      <c r="CG45" s="30"/>
      <c r="CH45" s="30"/>
      <c r="CI45" s="30"/>
      <c r="CJ45" s="30"/>
      <c r="CK45" s="30"/>
      <c r="CL45" s="30"/>
      <c r="CM45" s="30"/>
      <c r="CN45" s="30"/>
      <c r="CO45" s="30"/>
      <c r="CP45" s="30"/>
      <c r="CQ45" s="30"/>
      <c r="CR45" s="30"/>
      <c r="CS45" s="30"/>
      <c r="CT45" s="30"/>
      <c r="CU45" s="30"/>
      <c r="CV45" s="30"/>
      <c r="CW45" s="30"/>
      <c r="CX45" s="30"/>
      <c r="CY45" s="30"/>
      <c r="CZ45" s="30"/>
      <c r="DA45" s="30"/>
      <c r="DB45" s="30"/>
      <c r="DC45" s="30"/>
      <c r="DD45" s="30"/>
      <c r="DE45" s="30"/>
      <c r="DF45" s="30"/>
      <c r="DG45" s="30"/>
      <c r="DH45" s="30"/>
      <c r="DI45" s="30"/>
      <c r="DJ45" s="30"/>
      <c r="DK45" s="30"/>
      <c r="DL45" s="30"/>
      <c r="DM45" s="30"/>
      <c r="DN45" s="30"/>
    </row>
    <row r="46" spans="1:118" ht="12.75">
      <c r="A46" s="30">
        <v>65</v>
      </c>
      <c r="B46" s="30">
        <v>67</v>
      </c>
      <c r="C46" s="90">
        <v>0.36</v>
      </c>
      <c r="F46" s="82"/>
      <c r="G46" s="18"/>
      <c r="H46" s="100"/>
      <c r="I46" s="100"/>
      <c r="J46" s="100"/>
      <c r="K46" s="100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4"/>
      <c r="AD46" s="83"/>
      <c r="AE46" s="83"/>
      <c r="AF46" s="83"/>
      <c r="AG46" s="83"/>
      <c r="AH46" s="83"/>
      <c r="AI46" s="83"/>
      <c r="AJ46" s="83"/>
      <c r="AK46" s="83"/>
      <c r="AL46" s="83"/>
      <c r="AM46" s="83"/>
      <c r="AN46" s="83"/>
      <c r="AO46" s="83"/>
      <c r="AP46" s="83"/>
      <c r="AQ46" s="83"/>
      <c r="AR46" s="83"/>
      <c r="AS46" s="83"/>
      <c r="AT46" s="83"/>
      <c r="AU46" s="83"/>
      <c r="AV46" s="83"/>
      <c r="AW46" s="83"/>
      <c r="AX46" s="83"/>
      <c r="AY46" s="83"/>
      <c r="AZ46" s="83"/>
      <c r="BA46" s="83"/>
      <c r="BB46" s="83"/>
      <c r="BC46" s="83"/>
      <c r="BD46" s="83"/>
      <c r="BE46" s="100"/>
      <c r="BF46" s="145"/>
      <c r="BG46" s="141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  <c r="BT46" s="30"/>
      <c r="BU46" s="30"/>
      <c r="BV46" s="30"/>
      <c r="BW46" s="30"/>
      <c r="BX46" s="30"/>
      <c r="BY46" s="30"/>
      <c r="BZ46" s="30"/>
      <c r="CA46" s="30"/>
      <c r="CB46" s="30"/>
      <c r="CC46" s="30"/>
      <c r="CD46" s="30"/>
      <c r="CE46" s="30"/>
      <c r="CF46" s="30"/>
      <c r="CG46" s="30"/>
      <c r="CH46" s="30"/>
      <c r="CI46" s="30"/>
      <c r="CJ46" s="30"/>
      <c r="CK46" s="30"/>
      <c r="CL46" s="30"/>
      <c r="CM46" s="30"/>
      <c r="CN46" s="30"/>
      <c r="CO46" s="30"/>
      <c r="CP46" s="30"/>
      <c r="CQ46" s="30"/>
      <c r="CR46" s="30"/>
      <c r="CS46" s="30"/>
      <c r="CT46" s="30"/>
      <c r="CU46" s="30"/>
      <c r="CV46" s="30"/>
      <c r="CW46" s="30"/>
      <c r="CX46" s="30"/>
      <c r="CY46" s="30"/>
      <c r="CZ46" s="30"/>
      <c r="DA46" s="30"/>
      <c r="DB46" s="30"/>
      <c r="DC46" s="30"/>
      <c r="DD46" s="30"/>
      <c r="DE46" s="30"/>
      <c r="DF46" s="30"/>
      <c r="DG46" s="30"/>
      <c r="DH46" s="30"/>
      <c r="DI46" s="30"/>
      <c r="DJ46" s="30"/>
      <c r="DK46" s="30"/>
      <c r="DL46" s="30"/>
      <c r="DM46" s="30"/>
      <c r="DN46" s="30"/>
    </row>
    <row r="47" spans="1:118" ht="12.75">
      <c r="A47" s="30"/>
      <c r="B47" s="30"/>
      <c r="C47" s="154"/>
      <c r="F47" s="82"/>
      <c r="G47" s="18"/>
      <c r="H47" s="100"/>
      <c r="I47" s="100"/>
      <c r="J47" s="100"/>
      <c r="K47" s="100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3"/>
      <c r="AC47" s="84"/>
      <c r="AD47" s="83"/>
      <c r="AE47" s="83"/>
      <c r="AF47" s="83"/>
      <c r="AG47" s="83"/>
      <c r="AH47" s="83"/>
      <c r="AI47" s="83"/>
      <c r="AJ47" s="83"/>
      <c r="AK47" s="83"/>
      <c r="AL47" s="83"/>
      <c r="AM47" s="83"/>
      <c r="AN47" s="83"/>
      <c r="AO47" s="83"/>
      <c r="AP47" s="83"/>
      <c r="AQ47" s="83"/>
      <c r="AR47" s="83"/>
      <c r="AS47" s="83"/>
      <c r="AT47" s="83"/>
      <c r="AU47" s="83"/>
      <c r="AV47" s="83"/>
      <c r="AW47" s="83"/>
      <c r="AX47" s="83"/>
      <c r="AY47" s="83"/>
      <c r="AZ47" s="83"/>
      <c r="BA47" s="83"/>
      <c r="BB47" s="83"/>
      <c r="BC47" s="83"/>
      <c r="BD47" s="83"/>
      <c r="BE47" s="100"/>
      <c r="BF47" s="145"/>
      <c r="BG47" s="141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0"/>
      <c r="CA47" s="30"/>
      <c r="CB47" s="30"/>
      <c r="CC47" s="30"/>
      <c r="CD47" s="30"/>
      <c r="CE47" s="30"/>
      <c r="CF47" s="30"/>
      <c r="CG47" s="30"/>
      <c r="CH47" s="30"/>
      <c r="CI47" s="30"/>
      <c r="CJ47" s="30"/>
      <c r="CK47" s="30"/>
      <c r="CL47" s="30"/>
      <c r="CM47" s="30"/>
      <c r="CN47" s="30"/>
      <c r="CO47" s="30"/>
      <c r="CP47" s="30"/>
      <c r="CQ47" s="30"/>
      <c r="CR47" s="30"/>
      <c r="CS47" s="30"/>
      <c r="CT47" s="30"/>
      <c r="CU47" s="30"/>
      <c r="CV47" s="30"/>
      <c r="CW47" s="30"/>
      <c r="CX47" s="30"/>
      <c r="CY47" s="30"/>
      <c r="CZ47" s="30"/>
      <c r="DA47" s="30"/>
      <c r="DB47" s="30"/>
      <c r="DC47" s="30"/>
      <c r="DD47" s="30"/>
      <c r="DE47" s="30"/>
      <c r="DF47" s="30"/>
      <c r="DG47" s="30"/>
      <c r="DH47" s="30"/>
      <c r="DI47" s="30"/>
      <c r="DJ47" s="30"/>
      <c r="DK47" s="30"/>
      <c r="DL47" s="30"/>
      <c r="DM47" s="30"/>
      <c r="DN47" s="30"/>
    </row>
    <row r="48" spans="6:118" ht="12.75">
      <c r="F48" s="82"/>
      <c r="G48" s="18"/>
      <c r="H48" s="100"/>
      <c r="I48" s="100"/>
      <c r="J48" s="100"/>
      <c r="K48" s="100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4"/>
      <c r="AC48" s="83"/>
      <c r="AD48" s="83"/>
      <c r="AE48" s="83"/>
      <c r="AF48" s="83"/>
      <c r="AG48" s="83"/>
      <c r="AH48" s="83"/>
      <c r="AI48" s="83"/>
      <c r="AJ48" s="83"/>
      <c r="AK48" s="83"/>
      <c r="AL48" s="83"/>
      <c r="AM48" s="83"/>
      <c r="AN48" s="83"/>
      <c r="AO48" s="83"/>
      <c r="AP48" s="83"/>
      <c r="AQ48" s="83"/>
      <c r="AR48" s="83"/>
      <c r="AS48" s="83"/>
      <c r="AT48" s="83"/>
      <c r="AU48" s="83"/>
      <c r="AV48" s="83"/>
      <c r="AW48" s="83"/>
      <c r="AX48" s="83"/>
      <c r="AY48" s="83"/>
      <c r="AZ48" s="83"/>
      <c r="BA48" s="83"/>
      <c r="BB48" s="83"/>
      <c r="BC48" s="83"/>
      <c r="BD48" s="83"/>
      <c r="BE48" s="100"/>
      <c r="BF48" s="145"/>
      <c r="BG48" s="141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0"/>
      <c r="CA48" s="30"/>
      <c r="CB48" s="30"/>
      <c r="CC48" s="30"/>
      <c r="CD48" s="30"/>
      <c r="CE48" s="30"/>
      <c r="CF48" s="30"/>
      <c r="CG48" s="30"/>
      <c r="CH48" s="30"/>
      <c r="CI48" s="30"/>
      <c r="CJ48" s="30"/>
      <c r="CK48" s="30"/>
      <c r="CL48" s="30"/>
      <c r="CM48" s="30"/>
      <c r="CN48" s="30"/>
      <c r="CO48" s="30"/>
      <c r="CP48" s="30"/>
      <c r="CQ48" s="30"/>
      <c r="CR48" s="30"/>
      <c r="CS48" s="30"/>
      <c r="CT48" s="30"/>
      <c r="CU48" s="30"/>
      <c r="CV48" s="30"/>
      <c r="CW48" s="30"/>
      <c r="CX48" s="30"/>
      <c r="CY48" s="30"/>
      <c r="CZ48" s="30"/>
      <c r="DA48" s="30"/>
      <c r="DB48" s="30"/>
      <c r="DC48" s="30"/>
      <c r="DD48" s="30"/>
      <c r="DE48" s="30"/>
      <c r="DF48" s="30"/>
      <c r="DG48" s="30"/>
      <c r="DH48" s="30"/>
      <c r="DI48" s="30"/>
      <c r="DJ48" s="30"/>
      <c r="DK48" s="30"/>
      <c r="DL48" s="30"/>
      <c r="DM48" s="30"/>
      <c r="DN48" s="30"/>
    </row>
    <row r="49" spans="1:118" s="73" customFormat="1" ht="12.75">
      <c r="A49" s="73" t="s">
        <v>335</v>
      </c>
      <c r="B49" s="73" t="s">
        <v>336</v>
      </c>
      <c r="C49" s="105" t="s">
        <v>184</v>
      </c>
      <c r="D49" s="106" t="s">
        <v>240</v>
      </c>
      <c r="E49" s="107" t="s">
        <v>160</v>
      </c>
      <c r="F49" s="82"/>
      <c r="G49" s="18"/>
      <c r="H49" s="100"/>
      <c r="I49" s="100"/>
      <c r="J49" s="100"/>
      <c r="K49" s="100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4"/>
      <c r="AB49" s="83"/>
      <c r="AC49" s="83"/>
      <c r="AD49" s="83"/>
      <c r="AE49" s="83"/>
      <c r="AF49" s="83"/>
      <c r="AG49" s="83"/>
      <c r="AH49" s="83"/>
      <c r="AI49" s="83"/>
      <c r="AJ49" s="83"/>
      <c r="AK49" s="83"/>
      <c r="AL49" s="83"/>
      <c r="AM49" s="83"/>
      <c r="AN49" s="83"/>
      <c r="AO49" s="83"/>
      <c r="AP49" s="83"/>
      <c r="AQ49" s="83"/>
      <c r="AR49" s="83"/>
      <c r="AS49" s="83"/>
      <c r="AT49" s="83"/>
      <c r="AU49" s="83"/>
      <c r="AV49" s="83"/>
      <c r="AW49" s="83"/>
      <c r="AX49" s="83"/>
      <c r="AY49" s="83"/>
      <c r="AZ49" s="83"/>
      <c r="BA49" s="83"/>
      <c r="BB49" s="83"/>
      <c r="BC49" s="83"/>
      <c r="BD49" s="83"/>
      <c r="BE49" s="100"/>
      <c r="BF49" s="146"/>
      <c r="BG49" s="147"/>
      <c r="BH49" s="148"/>
      <c r="BI49" s="148"/>
      <c r="BJ49" s="148"/>
      <c r="BK49" s="148"/>
      <c r="BL49" s="148"/>
      <c r="BM49" s="148"/>
      <c r="BN49" s="148"/>
      <c r="BO49" s="148"/>
      <c r="BP49" s="148"/>
      <c r="BQ49" s="148"/>
      <c r="BR49" s="148"/>
      <c r="BS49" s="148"/>
      <c r="BT49" s="148"/>
      <c r="BU49" s="148"/>
      <c r="BV49" s="148"/>
      <c r="BW49" s="148"/>
      <c r="BX49" s="148"/>
      <c r="BY49" s="148"/>
      <c r="BZ49" s="148"/>
      <c r="CA49" s="148"/>
      <c r="CB49" s="148"/>
      <c r="CC49" s="148"/>
      <c r="CD49" s="148"/>
      <c r="CE49" s="148"/>
      <c r="CF49" s="148"/>
      <c r="CG49" s="148"/>
      <c r="CH49" s="148"/>
      <c r="CI49" s="148"/>
      <c r="CJ49" s="148"/>
      <c r="CK49" s="148"/>
      <c r="CL49" s="148"/>
      <c r="CM49" s="148"/>
      <c r="CN49" s="148"/>
      <c r="CO49" s="148"/>
      <c r="CP49" s="148"/>
      <c r="CQ49" s="148"/>
      <c r="CR49" s="148"/>
      <c r="CS49" s="148"/>
      <c r="CT49" s="148"/>
      <c r="CU49" s="148"/>
      <c r="CV49" s="148"/>
      <c r="CW49" s="148"/>
      <c r="CX49" s="148"/>
      <c r="CY49" s="148"/>
      <c r="CZ49" s="148"/>
      <c r="DA49" s="148"/>
      <c r="DB49" s="148"/>
      <c r="DC49" s="148"/>
      <c r="DD49" s="148"/>
      <c r="DE49" s="148"/>
      <c r="DF49" s="148"/>
      <c r="DG49" s="148"/>
      <c r="DH49" s="148"/>
      <c r="DI49" s="148"/>
      <c r="DJ49" s="148"/>
      <c r="DK49" s="148"/>
      <c r="DL49" s="148"/>
      <c r="DM49" s="148"/>
      <c r="DN49" s="148"/>
    </row>
    <row r="50" spans="1:118" ht="12.75">
      <c r="A50" s="1">
        <v>15</v>
      </c>
      <c r="B50" s="1">
        <v>20</v>
      </c>
      <c r="C50" s="103">
        <v>4.4</v>
      </c>
      <c r="D50" s="104">
        <v>6</v>
      </c>
      <c r="E50" s="108">
        <v>6.3</v>
      </c>
      <c r="F50" s="82"/>
      <c r="G50" s="18"/>
      <c r="H50" s="159"/>
      <c r="I50" s="100"/>
      <c r="J50" s="100"/>
      <c r="K50" s="100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4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83"/>
      <c r="AL50" s="83"/>
      <c r="AM50" s="83"/>
      <c r="AN50" s="83"/>
      <c r="AO50" s="83"/>
      <c r="AP50" s="83"/>
      <c r="AQ50" s="83"/>
      <c r="AR50" s="83"/>
      <c r="AS50" s="83"/>
      <c r="AT50" s="83"/>
      <c r="AU50" s="83"/>
      <c r="AV50" s="83"/>
      <c r="AW50" s="83"/>
      <c r="AX50" s="83"/>
      <c r="AY50" s="83"/>
      <c r="AZ50" s="83"/>
      <c r="BA50" s="83"/>
      <c r="BB50" s="83"/>
      <c r="BC50" s="83"/>
      <c r="BD50" s="83"/>
      <c r="BE50" s="100"/>
      <c r="BF50" s="145"/>
      <c r="BG50" s="141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0"/>
      <c r="CA50" s="30"/>
      <c r="CB50" s="30"/>
      <c r="CC50" s="30"/>
      <c r="CD50" s="30"/>
      <c r="CE50" s="30"/>
      <c r="CF50" s="30"/>
      <c r="CG50" s="30"/>
      <c r="CH50" s="30"/>
      <c r="CI50" s="30"/>
      <c r="CJ50" s="30"/>
      <c r="CK50" s="30"/>
      <c r="CL50" s="30"/>
      <c r="CM50" s="30"/>
      <c r="CN50" s="30"/>
      <c r="CO50" s="30"/>
      <c r="CP50" s="30"/>
      <c r="CQ50" s="30"/>
      <c r="CR50" s="30"/>
      <c r="CS50" s="30"/>
      <c r="CT50" s="30"/>
      <c r="CU50" s="30"/>
      <c r="CV50" s="30"/>
      <c r="CW50" s="30"/>
      <c r="CX50" s="30"/>
      <c r="CY50" s="30"/>
      <c r="CZ50" s="30"/>
      <c r="DA50" s="30"/>
      <c r="DB50" s="30"/>
      <c r="DC50" s="30"/>
      <c r="DD50" s="30"/>
      <c r="DE50" s="30"/>
      <c r="DF50" s="30"/>
      <c r="DG50" s="30"/>
      <c r="DH50" s="30"/>
      <c r="DI50" s="30"/>
      <c r="DJ50" s="30"/>
      <c r="DK50" s="30"/>
      <c r="DL50" s="30"/>
      <c r="DM50" s="30"/>
      <c r="DN50" s="30"/>
    </row>
    <row r="51" spans="1:118" ht="12.75">
      <c r="A51" s="1">
        <v>21</v>
      </c>
      <c r="B51" s="1">
        <v>24</v>
      </c>
      <c r="C51" s="103">
        <v>4.4</v>
      </c>
      <c r="D51" s="104">
        <v>6</v>
      </c>
      <c r="E51" s="108">
        <v>6.3</v>
      </c>
      <c r="F51" s="82"/>
      <c r="G51" s="18"/>
      <c r="H51" s="159"/>
      <c r="I51" s="100"/>
      <c r="J51" s="100"/>
      <c r="K51" s="100"/>
      <c r="L51" s="83"/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4"/>
      <c r="Z51" s="83"/>
      <c r="AA51" s="83"/>
      <c r="AB51" s="83"/>
      <c r="AC51" s="83"/>
      <c r="AD51" s="83"/>
      <c r="AE51" s="83"/>
      <c r="AF51" s="83"/>
      <c r="AG51" s="83"/>
      <c r="AH51" s="83"/>
      <c r="AI51" s="83"/>
      <c r="AJ51" s="83"/>
      <c r="AK51" s="83"/>
      <c r="AL51" s="83"/>
      <c r="AM51" s="83"/>
      <c r="AN51" s="83"/>
      <c r="AO51" s="83"/>
      <c r="AP51" s="83"/>
      <c r="AQ51" s="83"/>
      <c r="AR51" s="83"/>
      <c r="AS51" s="83"/>
      <c r="AT51" s="83"/>
      <c r="AU51" s="83"/>
      <c r="AV51" s="83"/>
      <c r="AW51" s="83"/>
      <c r="AX51" s="83"/>
      <c r="AY51" s="83"/>
      <c r="AZ51" s="83"/>
      <c r="BA51" s="83"/>
      <c r="BB51" s="83"/>
      <c r="BC51" s="83"/>
      <c r="BD51" s="83"/>
      <c r="BE51" s="100"/>
      <c r="BF51" s="145"/>
      <c r="BG51" s="141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0"/>
      <c r="CA51" s="30"/>
      <c r="CB51" s="30"/>
      <c r="CC51" s="30"/>
      <c r="CD51" s="30"/>
      <c r="CE51" s="30"/>
      <c r="CF51" s="30"/>
      <c r="CG51" s="30"/>
      <c r="CH51" s="30"/>
      <c r="CI51" s="30"/>
      <c r="CJ51" s="30"/>
      <c r="CK51" s="30"/>
      <c r="CL51" s="30"/>
      <c r="CM51" s="30"/>
      <c r="CN51" s="30"/>
      <c r="CO51" s="30"/>
      <c r="CP51" s="30"/>
      <c r="CQ51" s="30"/>
      <c r="CR51" s="30"/>
      <c r="CS51" s="30"/>
      <c r="CT51" s="30"/>
      <c r="CU51" s="30"/>
      <c r="CV51" s="30"/>
      <c r="CW51" s="30"/>
      <c r="CX51" s="30"/>
      <c r="CY51" s="30"/>
      <c r="CZ51" s="30"/>
      <c r="DA51" s="30"/>
      <c r="DB51" s="30"/>
      <c r="DC51" s="30"/>
      <c r="DD51" s="30"/>
      <c r="DE51" s="30"/>
      <c r="DF51" s="30"/>
      <c r="DG51" s="30"/>
      <c r="DH51" s="30"/>
      <c r="DI51" s="30"/>
      <c r="DJ51" s="30"/>
      <c r="DK51" s="30"/>
      <c r="DL51" s="30"/>
      <c r="DM51" s="30"/>
      <c r="DN51" s="30"/>
    </row>
    <row r="52" spans="1:118" ht="12.75">
      <c r="A52" s="1">
        <v>25</v>
      </c>
      <c r="B52" s="1">
        <v>29</v>
      </c>
      <c r="C52" s="103">
        <v>4.4</v>
      </c>
      <c r="D52" s="104">
        <v>6</v>
      </c>
      <c r="E52" s="108">
        <v>6.3</v>
      </c>
      <c r="F52" s="82"/>
      <c r="G52" s="18"/>
      <c r="H52" s="159"/>
      <c r="I52" s="100"/>
      <c r="J52" s="100"/>
      <c r="K52" s="100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4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83"/>
      <c r="AL52" s="83"/>
      <c r="AM52" s="83"/>
      <c r="AN52" s="83"/>
      <c r="AO52" s="83"/>
      <c r="AP52" s="83"/>
      <c r="AQ52" s="83"/>
      <c r="AR52" s="83"/>
      <c r="AS52" s="83"/>
      <c r="AT52" s="83"/>
      <c r="AU52" s="83"/>
      <c r="AV52" s="83"/>
      <c r="AW52" s="83"/>
      <c r="AX52" s="83"/>
      <c r="AY52" s="83"/>
      <c r="AZ52" s="83"/>
      <c r="BA52" s="83"/>
      <c r="BB52" s="83"/>
      <c r="BC52" s="83"/>
      <c r="BD52" s="83"/>
      <c r="BE52" s="100"/>
      <c r="BF52" s="145"/>
      <c r="BG52" s="141"/>
      <c r="BH52" s="30"/>
      <c r="BI52" s="30"/>
      <c r="BJ52" s="30"/>
      <c r="BK52" s="30"/>
      <c r="BL52" s="30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0"/>
      <c r="CA52" s="30"/>
      <c r="CB52" s="30"/>
      <c r="CC52" s="30"/>
      <c r="CD52" s="30"/>
      <c r="CE52" s="30"/>
      <c r="CF52" s="30"/>
      <c r="CG52" s="30"/>
      <c r="CH52" s="30"/>
      <c r="CI52" s="30"/>
      <c r="CJ52" s="30"/>
      <c r="CK52" s="30"/>
      <c r="CL52" s="30"/>
      <c r="CM52" s="30"/>
      <c r="CN52" s="30"/>
      <c r="CO52" s="30"/>
      <c r="CP52" s="30"/>
      <c r="CQ52" s="30"/>
      <c r="CR52" s="30"/>
      <c r="CS52" s="30"/>
      <c r="CT52" s="30"/>
      <c r="CU52" s="30"/>
      <c r="CV52" s="30"/>
      <c r="CW52" s="30"/>
      <c r="CX52" s="30"/>
      <c r="CY52" s="30"/>
      <c r="CZ52" s="30"/>
      <c r="DA52" s="30"/>
      <c r="DB52" s="30"/>
      <c r="DC52" s="30"/>
      <c r="DD52" s="30"/>
      <c r="DE52" s="30"/>
      <c r="DF52" s="30"/>
      <c r="DG52" s="30"/>
      <c r="DH52" s="30"/>
      <c r="DI52" s="30"/>
      <c r="DJ52" s="30"/>
      <c r="DK52" s="30"/>
      <c r="DL52" s="30"/>
      <c r="DM52" s="30"/>
      <c r="DN52" s="30"/>
    </row>
    <row r="53" spans="1:118" ht="12.75">
      <c r="A53" s="1">
        <v>30</v>
      </c>
      <c r="B53" s="1">
        <v>34</v>
      </c>
      <c r="C53" s="103">
        <v>4.4</v>
      </c>
      <c r="D53" s="104">
        <v>6</v>
      </c>
      <c r="E53" s="108">
        <v>6.3</v>
      </c>
      <c r="F53" s="82"/>
      <c r="G53" s="18"/>
      <c r="H53" s="159"/>
      <c r="I53" s="100"/>
      <c r="J53" s="100"/>
      <c r="K53" s="100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4"/>
      <c r="X53" s="83"/>
      <c r="Y53" s="83"/>
      <c r="Z53" s="83"/>
      <c r="AA53" s="83"/>
      <c r="AB53" s="83"/>
      <c r="AC53" s="83"/>
      <c r="AD53" s="83"/>
      <c r="AE53" s="83"/>
      <c r="AF53" s="83"/>
      <c r="AG53" s="83"/>
      <c r="AH53" s="83"/>
      <c r="AI53" s="83"/>
      <c r="AJ53" s="83"/>
      <c r="AK53" s="83"/>
      <c r="AL53" s="83"/>
      <c r="AM53" s="83"/>
      <c r="AN53" s="83"/>
      <c r="AO53" s="83"/>
      <c r="AP53" s="83"/>
      <c r="AQ53" s="83"/>
      <c r="AR53" s="83"/>
      <c r="AS53" s="83"/>
      <c r="AT53" s="83"/>
      <c r="AU53" s="83"/>
      <c r="AV53" s="83"/>
      <c r="AW53" s="83"/>
      <c r="AX53" s="83"/>
      <c r="AY53" s="83"/>
      <c r="AZ53" s="83"/>
      <c r="BA53" s="83"/>
      <c r="BB53" s="83"/>
      <c r="BC53" s="83"/>
      <c r="BD53" s="83"/>
      <c r="BE53" s="100"/>
      <c r="BF53" s="145"/>
      <c r="BG53" s="141"/>
      <c r="BH53" s="30"/>
      <c r="BI53" s="30"/>
      <c r="BJ53" s="30"/>
      <c r="BK53" s="30"/>
      <c r="BL53" s="30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0"/>
      <c r="CA53" s="30"/>
      <c r="CB53" s="30"/>
      <c r="CC53" s="30"/>
      <c r="CD53" s="30"/>
      <c r="CE53" s="30"/>
      <c r="CF53" s="30"/>
      <c r="CG53" s="30"/>
      <c r="CH53" s="30"/>
      <c r="CI53" s="30"/>
      <c r="CJ53" s="30"/>
      <c r="CK53" s="30"/>
      <c r="CL53" s="30"/>
      <c r="CM53" s="30"/>
      <c r="CN53" s="30"/>
      <c r="CO53" s="30"/>
      <c r="CP53" s="30"/>
      <c r="CQ53" s="30"/>
      <c r="CR53" s="30"/>
      <c r="CS53" s="30"/>
      <c r="CT53" s="30"/>
      <c r="CU53" s="30"/>
      <c r="CV53" s="30"/>
      <c r="CW53" s="30"/>
      <c r="CX53" s="30"/>
      <c r="CY53" s="30"/>
      <c r="CZ53" s="30"/>
      <c r="DA53" s="30"/>
      <c r="DB53" s="30"/>
      <c r="DC53" s="30"/>
      <c r="DD53" s="30"/>
      <c r="DE53" s="30"/>
      <c r="DF53" s="30"/>
      <c r="DG53" s="30"/>
      <c r="DH53" s="30"/>
      <c r="DI53" s="30"/>
      <c r="DJ53" s="30"/>
      <c r="DK53" s="30"/>
      <c r="DL53" s="30"/>
      <c r="DM53" s="30"/>
      <c r="DN53" s="30"/>
    </row>
    <row r="54" spans="1:118" s="8" customFormat="1" ht="12.75">
      <c r="A54" s="30">
        <v>35</v>
      </c>
      <c r="B54" s="30">
        <v>39</v>
      </c>
      <c r="C54" s="103">
        <v>4.4</v>
      </c>
      <c r="D54" s="104">
        <v>6</v>
      </c>
      <c r="E54" s="108">
        <v>6.3</v>
      </c>
      <c r="F54" s="82"/>
      <c r="G54" s="18"/>
      <c r="H54" s="159"/>
      <c r="I54" s="100"/>
      <c r="J54" s="100"/>
      <c r="K54" s="100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4"/>
      <c r="W54" s="83"/>
      <c r="X54" s="83"/>
      <c r="Y54" s="83"/>
      <c r="Z54" s="83"/>
      <c r="AA54" s="83"/>
      <c r="AB54" s="83"/>
      <c r="AC54" s="83"/>
      <c r="AD54" s="83"/>
      <c r="AE54" s="83"/>
      <c r="AF54" s="83"/>
      <c r="AG54" s="83"/>
      <c r="AH54" s="83"/>
      <c r="AI54" s="83"/>
      <c r="AJ54" s="83"/>
      <c r="AK54" s="83"/>
      <c r="AL54" s="83"/>
      <c r="AM54" s="83"/>
      <c r="AN54" s="83"/>
      <c r="AO54" s="83"/>
      <c r="AP54" s="83"/>
      <c r="AQ54" s="83"/>
      <c r="AR54" s="83"/>
      <c r="AS54" s="83"/>
      <c r="AT54" s="83"/>
      <c r="AU54" s="83"/>
      <c r="AV54" s="83"/>
      <c r="AW54" s="83"/>
      <c r="AX54" s="83"/>
      <c r="AY54" s="83"/>
      <c r="AZ54" s="83"/>
      <c r="BA54" s="83"/>
      <c r="BB54" s="83"/>
      <c r="BC54" s="83"/>
      <c r="BD54" s="83"/>
      <c r="BE54" s="100"/>
      <c r="BF54" s="145"/>
      <c r="BG54" s="141"/>
      <c r="BH54" s="30"/>
      <c r="BI54" s="30"/>
      <c r="BJ54" s="30"/>
      <c r="BK54" s="30"/>
      <c r="BL54" s="30"/>
      <c r="BM54" s="30"/>
      <c r="BN54" s="30"/>
      <c r="BO54" s="30"/>
      <c r="BP54" s="30"/>
      <c r="BQ54" s="30"/>
      <c r="BR54" s="30"/>
      <c r="BS54" s="30"/>
      <c r="BT54" s="30"/>
      <c r="BU54" s="30"/>
      <c r="BV54" s="30"/>
      <c r="BW54" s="30"/>
      <c r="BX54" s="30"/>
      <c r="BY54" s="30"/>
      <c r="BZ54" s="30"/>
      <c r="CA54" s="30"/>
      <c r="CB54" s="30"/>
      <c r="CC54" s="30"/>
      <c r="CD54" s="30"/>
      <c r="CE54" s="30"/>
      <c r="CF54" s="30"/>
      <c r="CG54" s="30"/>
      <c r="CH54" s="30"/>
      <c r="CI54" s="30"/>
      <c r="CJ54" s="30"/>
      <c r="CK54" s="30"/>
      <c r="CL54" s="30"/>
      <c r="CM54" s="30"/>
      <c r="CN54" s="30"/>
      <c r="CO54" s="30"/>
      <c r="CP54" s="30"/>
      <c r="CQ54" s="30"/>
      <c r="CR54" s="30"/>
      <c r="CS54" s="30"/>
      <c r="CT54" s="30"/>
      <c r="CU54" s="30"/>
      <c r="CV54" s="30"/>
      <c r="CW54" s="30"/>
      <c r="CX54" s="30"/>
      <c r="CY54" s="30"/>
      <c r="CZ54" s="30"/>
      <c r="DA54" s="30"/>
      <c r="DB54" s="30"/>
      <c r="DC54" s="30"/>
      <c r="DD54" s="30"/>
      <c r="DE54" s="30"/>
      <c r="DF54" s="30"/>
      <c r="DG54" s="30"/>
      <c r="DH54" s="30"/>
      <c r="DI54" s="30"/>
      <c r="DJ54" s="30"/>
      <c r="DK54" s="30"/>
      <c r="DL54" s="30"/>
      <c r="DM54" s="30"/>
      <c r="DN54" s="30"/>
    </row>
    <row r="55" spans="1:118" ht="12.75">
      <c r="A55" s="30">
        <v>40</v>
      </c>
      <c r="B55" s="30">
        <v>44</v>
      </c>
      <c r="C55" s="103">
        <v>4.4</v>
      </c>
      <c r="D55" s="104">
        <v>5.3</v>
      </c>
      <c r="E55" s="108">
        <v>6.3</v>
      </c>
      <c r="F55" s="82"/>
      <c r="G55" s="18"/>
      <c r="H55" s="159"/>
      <c r="I55" s="100"/>
      <c r="J55" s="100"/>
      <c r="K55" s="100"/>
      <c r="L55" s="83"/>
      <c r="M55" s="83"/>
      <c r="N55" s="83"/>
      <c r="O55" s="83"/>
      <c r="P55" s="83"/>
      <c r="Q55" s="83"/>
      <c r="R55" s="83"/>
      <c r="S55" s="83"/>
      <c r="T55" s="83"/>
      <c r="U55" s="84"/>
      <c r="V55" s="83"/>
      <c r="W55" s="83"/>
      <c r="X55" s="83"/>
      <c r="Y55" s="83"/>
      <c r="Z55" s="83"/>
      <c r="AA55" s="83"/>
      <c r="AB55" s="83"/>
      <c r="AC55" s="83"/>
      <c r="AD55" s="83"/>
      <c r="AE55" s="83"/>
      <c r="AF55" s="83"/>
      <c r="AG55" s="83"/>
      <c r="AH55" s="83"/>
      <c r="AI55" s="83"/>
      <c r="AJ55" s="83"/>
      <c r="AK55" s="83"/>
      <c r="AL55" s="83"/>
      <c r="AM55" s="83"/>
      <c r="AN55" s="83"/>
      <c r="AO55" s="83"/>
      <c r="AP55" s="83"/>
      <c r="AQ55" s="83"/>
      <c r="AR55" s="83"/>
      <c r="AS55" s="83"/>
      <c r="AT55" s="83"/>
      <c r="AU55" s="83"/>
      <c r="AV55" s="83"/>
      <c r="AW55" s="83"/>
      <c r="AX55" s="83"/>
      <c r="AY55" s="83"/>
      <c r="AZ55" s="83"/>
      <c r="BA55" s="83"/>
      <c r="BB55" s="83"/>
      <c r="BC55" s="83"/>
      <c r="BD55" s="83"/>
      <c r="BE55" s="100"/>
      <c r="BF55" s="145"/>
      <c r="BG55" s="141"/>
      <c r="BH55" s="30"/>
      <c r="BI55" s="30"/>
      <c r="BJ55" s="30"/>
      <c r="BK55" s="30"/>
      <c r="BL55" s="30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0"/>
      <c r="CA55" s="30"/>
      <c r="CB55" s="30"/>
      <c r="CC55" s="30"/>
      <c r="CD55" s="30"/>
      <c r="CE55" s="30"/>
      <c r="CF55" s="30"/>
      <c r="CG55" s="30"/>
      <c r="CH55" s="30"/>
      <c r="CI55" s="30"/>
      <c r="CJ55" s="30"/>
      <c r="CK55" s="30"/>
      <c r="CL55" s="30"/>
      <c r="CM55" s="30"/>
      <c r="CN55" s="30"/>
      <c r="CO55" s="30"/>
      <c r="CP55" s="30"/>
      <c r="CQ55" s="30"/>
      <c r="CR55" s="30"/>
      <c r="CS55" s="30"/>
      <c r="CT55" s="30"/>
      <c r="CU55" s="30"/>
      <c r="CV55" s="30"/>
      <c r="CW55" s="30"/>
      <c r="CX55" s="30"/>
      <c r="CY55" s="30"/>
      <c r="CZ55" s="30"/>
      <c r="DA55" s="30"/>
      <c r="DB55" s="30"/>
      <c r="DC55" s="30"/>
      <c r="DD55" s="30"/>
      <c r="DE55" s="30"/>
      <c r="DF55" s="30"/>
      <c r="DG55" s="30"/>
      <c r="DH55" s="30"/>
      <c r="DI55" s="30"/>
      <c r="DJ55" s="30"/>
      <c r="DK55" s="30"/>
      <c r="DL55" s="30"/>
      <c r="DM55" s="30"/>
      <c r="DN55" s="30"/>
    </row>
    <row r="56" spans="1:118" ht="12.75">
      <c r="A56" s="30">
        <v>45</v>
      </c>
      <c r="B56" s="30">
        <v>50</v>
      </c>
      <c r="C56" s="103">
        <v>4.4</v>
      </c>
      <c r="D56" s="104">
        <v>4.9</v>
      </c>
      <c r="E56" s="108">
        <v>5.6</v>
      </c>
      <c r="F56" s="82"/>
      <c r="G56" s="18"/>
      <c r="H56" s="159"/>
      <c r="I56" s="100"/>
      <c r="J56" s="100"/>
      <c r="K56" s="100"/>
      <c r="L56" s="83"/>
      <c r="M56" s="83"/>
      <c r="N56" s="83"/>
      <c r="O56" s="83"/>
      <c r="P56" s="83"/>
      <c r="Q56" s="83"/>
      <c r="R56" s="83"/>
      <c r="S56" s="83"/>
      <c r="T56" s="84"/>
      <c r="U56" s="83"/>
      <c r="V56" s="83"/>
      <c r="W56" s="83"/>
      <c r="X56" s="83"/>
      <c r="Y56" s="83"/>
      <c r="Z56" s="83"/>
      <c r="AA56" s="83"/>
      <c r="AB56" s="83"/>
      <c r="AC56" s="83"/>
      <c r="AD56" s="83"/>
      <c r="AE56" s="83"/>
      <c r="AF56" s="83"/>
      <c r="AG56" s="83"/>
      <c r="AH56" s="83"/>
      <c r="AI56" s="83"/>
      <c r="AJ56" s="83"/>
      <c r="AK56" s="83"/>
      <c r="AL56" s="83"/>
      <c r="AM56" s="83"/>
      <c r="AN56" s="83"/>
      <c r="AO56" s="83"/>
      <c r="AP56" s="83"/>
      <c r="AQ56" s="83"/>
      <c r="AR56" s="83"/>
      <c r="AS56" s="83"/>
      <c r="AT56" s="83"/>
      <c r="AU56" s="83"/>
      <c r="AV56" s="83"/>
      <c r="AW56" s="83"/>
      <c r="AX56" s="83"/>
      <c r="AY56" s="83"/>
      <c r="AZ56" s="83"/>
      <c r="BA56" s="83"/>
      <c r="BB56" s="83"/>
      <c r="BC56" s="83"/>
      <c r="BD56" s="83"/>
      <c r="BE56" s="100"/>
      <c r="BF56" s="145"/>
      <c r="BG56" s="141"/>
      <c r="BH56" s="30"/>
      <c r="BI56" s="30"/>
      <c r="BJ56" s="30"/>
      <c r="BK56" s="30"/>
      <c r="BL56" s="30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0"/>
      <c r="CA56" s="30"/>
      <c r="CB56" s="30"/>
      <c r="CC56" s="30"/>
      <c r="CD56" s="30"/>
      <c r="CE56" s="30"/>
      <c r="CF56" s="30"/>
      <c r="CG56" s="30"/>
      <c r="CH56" s="30"/>
      <c r="CI56" s="30"/>
      <c r="CJ56" s="30"/>
      <c r="CK56" s="30"/>
      <c r="CL56" s="30"/>
      <c r="CM56" s="30"/>
      <c r="CN56" s="30"/>
      <c r="CO56" s="30"/>
      <c r="CP56" s="30"/>
      <c r="CQ56" s="30"/>
      <c r="CR56" s="30"/>
      <c r="CS56" s="30"/>
      <c r="CT56" s="30"/>
      <c r="CU56" s="30"/>
      <c r="CV56" s="30"/>
      <c r="CW56" s="30"/>
      <c r="CX56" s="30"/>
      <c r="CY56" s="30"/>
      <c r="CZ56" s="30"/>
      <c r="DA56" s="30"/>
      <c r="DB56" s="30"/>
      <c r="DC56" s="30"/>
      <c r="DD56" s="30"/>
      <c r="DE56" s="30"/>
      <c r="DF56" s="30"/>
      <c r="DG56" s="30"/>
      <c r="DH56" s="30"/>
      <c r="DI56" s="30"/>
      <c r="DJ56" s="30"/>
      <c r="DK56" s="30"/>
      <c r="DL56" s="30"/>
      <c r="DM56" s="30"/>
      <c r="DN56" s="30"/>
    </row>
    <row r="57" spans="1:118" ht="12.75">
      <c r="A57" s="30">
        <v>51</v>
      </c>
      <c r="B57" s="30">
        <v>51</v>
      </c>
      <c r="C57" s="103">
        <v>4.4</v>
      </c>
      <c r="D57" s="104">
        <v>4.9</v>
      </c>
      <c r="E57" s="108">
        <v>5.6</v>
      </c>
      <c r="F57" s="82"/>
      <c r="G57" s="18"/>
      <c r="H57" s="159"/>
      <c r="I57" s="100"/>
      <c r="J57" s="100"/>
      <c r="K57" s="100"/>
      <c r="L57" s="83"/>
      <c r="M57" s="83"/>
      <c r="N57" s="83"/>
      <c r="O57" s="83"/>
      <c r="P57" s="83"/>
      <c r="Q57" s="83"/>
      <c r="R57" s="83"/>
      <c r="S57" s="84"/>
      <c r="T57" s="83"/>
      <c r="U57" s="83"/>
      <c r="V57" s="83"/>
      <c r="W57" s="83"/>
      <c r="X57" s="83"/>
      <c r="Y57" s="83"/>
      <c r="Z57" s="83"/>
      <c r="AA57" s="83"/>
      <c r="AB57" s="83"/>
      <c r="AC57" s="83"/>
      <c r="AD57" s="83"/>
      <c r="AE57" s="83"/>
      <c r="AF57" s="83"/>
      <c r="AG57" s="83"/>
      <c r="AH57" s="83"/>
      <c r="AI57" s="83"/>
      <c r="AJ57" s="83"/>
      <c r="AK57" s="83"/>
      <c r="AL57" s="83"/>
      <c r="AM57" s="83"/>
      <c r="AN57" s="83"/>
      <c r="AO57" s="83"/>
      <c r="AP57" s="83"/>
      <c r="AQ57" s="83"/>
      <c r="AR57" s="83"/>
      <c r="AS57" s="83"/>
      <c r="AT57" s="83"/>
      <c r="AU57" s="83"/>
      <c r="AV57" s="83"/>
      <c r="AW57" s="83"/>
      <c r="AX57" s="83"/>
      <c r="AY57" s="83"/>
      <c r="AZ57" s="83"/>
      <c r="BA57" s="83"/>
      <c r="BB57" s="83"/>
      <c r="BC57" s="83"/>
      <c r="BD57" s="83"/>
      <c r="BE57" s="100"/>
      <c r="BF57" s="145"/>
      <c r="BG57" s="141"/>
      <c r="BH57" s="30"/>
      <c r="BI57" s="30"/>
      <c r="BJ57" s="30"/>
      <c r="BK57" s="30"/>
      <c r="BL57" s="30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0"/>
      <c r="CA57" s="30"/>
      <c r="CB57" s="30"/>
      <c r="CC57" s="30"/>
      <c r="CD57" s="30"/>
      <c r="CE57" s="30"/>
      <c r="CF57" s="30"/>
      <c r="CG57" s="30"/>
      <c r="CH57" s="30"/>
      <c r="CI57" s="30"/>
      <c r="CJ57" s="30"/>
      <c r="CK57" s="30"/>
      <c r="CL57" s="30"/>
      <c r="CM57" s="30"/>
      <c r="CN57" s="30"/>
      <c r="CO57" s="30"/>
      <c r="CP57" s="30"/>
      <c r="CQ57" s="30"/>
      <c r="CR57" s="30"/>
      <c r="CS57" s="30"/>
      <c r="CT57" s="30"/>
      <c r="CU57" s="30"/>
      <c r="CV57" s="30"/>
      <c r="CW57" s="30"/>
      <c r="CX57" s="30"/>
      <c r="CY57" s="30"/>
      <c r="CZ57" s="30"/>
      <c r="DA57" s="30"/>
      <c r="DB57" s="30"/>
      <c r="DC57" s="30"/>
      <c r="DD57" s="30"/>
      <c r="DE57" s="30"/>
      <c r="DF57" s="30"/>
      <c r="DG57" s="30"/>
      <c r="DH57" s="30"/>
      <c r="DI57" s="30"/>
      <c r="DJ57" s="30"/>
      <c r="DK57" s="30"/>
      <c r="DL57" s="30"/>
      <c r="DM57" s="30"/>
      <c r="DN57" s="30"/>
    </row>
    <row r="58" spans="1:118" ht="12.75">
      <c r="A58" s="30">
        <v>52</v>
      </c>
      <c r="B58" s="30">
        <v>52</v>
      </c>
      <c r="C58" s="103">
        <v>3.9</v>
      </c>
      <c r="D58" s="104">
        <v>4.2</v>
      </c>
      <c r="E58" s="108">
        <v>4.6</v>
      </c>
      <c r="F58" s="82"/>
      <c r="G58" s="18"/>
      <c r="H58" s="159"/>
      <c r="I58" s="100"/>
      <c r="J58" s="100"/>
      <c r="K58" s="100"/>
      <c r="L58" s="83"/>
      <c r="M58" s="83"/>
      <c r="N58" s="83"/>
      <c r="O58" s="83"/>
      <c r="P58" s="83"/>
      <c r="Q58" s="83"/>
      <c r="R58" s="84"/>
      <c r="S58" s="85"/>
      <c r="T58" s="83"/>
      <c r="U58" s="83"/>
      <c r="V58" s="83"/>
      <c r="W58" s="83"/>
      <c r="X58" s="83"/>
      <c r="Y58" s="83"/>
      <c r="Z58" s="83"/>
      <c r="AA58" s="83"/>
      <c r="AB58" s="83"/>
      <c r="AC58" s="83"/>
      <c r="AD58" s="83"/>
      <c r="AE58" s="83"/>
      <c r="AF58" s="83"/>
      <c r="AG58" s="83"/>
      <c r="AH58" s="83"/>
      <c r="AI58" s="83"/>
      <c r="AJ58" s="83"/>
      <c r="AK58" s="83"/>
      <c r="AL58" s="83"/>
      <c r="AM58" s="83"/>
      <c r="AN58" s="83"/>
      <c r="AO58" s="83"/>
      <c r="AP58" s="83"/>
      <c r="AQ58" s="83"/>
      <c r="AR58" s="83"/>
      <c r="AS58" s="83"/>
      <c r="AT58" s="83"/>
      <c r="AU58" s="83"/>
      <c r="AV58" s="83"/>
      <c r="AW58" s="83"/>
      <c r="AX58" s="83"/>
      <c r="AY58" s="83"/>
      <c r="AZ58" s="83"/>
      <c r="BA58" s="83"/>
      <c r="BB58" s="83"/>
      <c r="BC58" s="83"/>
      <c r="BD58" s="83"/>
      <c r="BE58" s="100"/>
      <c r="BF58" s="145"/>
      <c r="BG58" s="141"/>
      <c r="BH58" s="30"/>
      <c r="BI58" s="30"/>
      <c r="BJ58" s="30"/>
      <c r="BK58" s="30"/>
      <c r="BL58" s="30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0"/>
      <c r="CA58" s="30"/>
      <c r="CB58" s="30"/>
      <c r="CC58" s="30"/>
      <c r="CD58" s="30"/>
      <c r="CE58" s="30"/>
      <c r="CF58" s="30"/>
      <c r="CG58" s="30"/>
      <c r="CH58" s="30"/>
      <c r="CI58" s="30"/>
      <c r="CJ58" s="30"/>
      <c r="CK58" s="30"/>
      <c r="CL58" s="30"/>
      <c r="CM58" s="30"/>
      <c r="CN58" s="30"/>
      <c r="CO58" s="30"/>
      <c r="CP58" s="30"/>
      <c r="CQ58" s="30"/>
      <c r="CR58" s="30"/>
      <c r="CS58" s="30"/>
      <c r="CT58" s="30"/>
      <c r="CU58" s="30"/>
      <c r="CV58" s="30"/>
      <c r="CW58" s="30"/>
      <c r="CX58" s="30"/>
      <c r="CY58" s="30"/>
      <c r="CZ58" s="30"/>
      <c r="DA58" s="30"/>
      <c r="DB58" s="30"/>
      <c r="DC58" s="30"/>
      <c r="DD58" s="30"/>
      <c r="DE58" s="30"/>
      <c r="DF58" s="30"/>
      <c r="DG58" s="30"/>
      <c r="DH58" s="30"/>
      <c r="DI58" s="30"/>
      <c r="DJ58" s="30"/>
      <c r="DK58" s="30"/>
      <c r="DL58" s="30"/>
      <c r="DM58" s="30"/>
      <c r="DN58" s="30"/>
    </row>
    <row r="59" spans="1:118" ht="12.75">
      <c r="A59" s="30">
        <v>53</v>
      </c>
      <c r="B59" s="30">
        <v>53</v>
      </c>
      <c r="C59" s="103">
        <v>3.9</v>
      </c>
      <c r="D59" s="104">
        <v>4.2</v>
      </c>
      <c r="E59" s="108">
        <v>4.6</v>
      </c>
      <c r="F59" s="82"/>
      <c r="G59" s="18"/>
      <c r="H59" s="159"/>
      <c r="I59" s="100"/>
      <c r="J59" s="100"/>
      <c r="K59" s="100"/>
      <c r="L59" s="83"/>
      <c r="M59" s="83"/>
      <c r="N59" s="83"/>
      <c r="O59" s="83"/>
      <c r="P59" s="83"/>
      <c r="Q59" s="83"/>
      <c r="R59" s="84"/>
      <c r="S59" s="85"/>
      <c r="T59" s="83"/>
      <c r="U59" s="83"/>
      <c r="V59" s="83"/>
      <c r="W59" s="83"/>
      <c r="X59" s="83"/>
      <c r="Y59" s="83"/>
      <c r="Z59" s="83"/>
      <c r="AA59" s="83"/>
      <c r="AB59" s="83"/>
      <c r="AC59" s="83"/>
      <c r="AD59" s="83"/>
      <c r="AE59" s="83"/>
      <c r="AF59" s="83"/>
      <c r="AG59" s="83"/>
      <c r="AH59" s="83"/>
      <c r="AI59" s="83"/>
      <c r="AJ59" s="83"/>
      <c r="AK59" s="83"/>
      <c r="AL59" s="83"/>
      <c r="AM59" s="83"/>
      <c r="AN59" s="83"/>
      <c r="AO59" s="83"/>
      <c r="AP59" s="83"/>
      <c r="AQ59" s="83"/>
      <c r="AR59" s="83"/>
      <c r="AS59" s="83"/>
      <c r="AT59" s="83"/>
      <c r="AU59" s="83"/>
      <c r="AV59" s="83"/>
      <c r="AW59" s="83"/>
      <c r="AX59" s="83"/>
      <c r="AY59" s="83"/>
      <c r="AZ59" s="83"/>
      <c r="BA59" s="83"/>
      <c r="BB59" s="83"/>
      <c r="BC59" s="83"/>
      <c r="BD59" s="83"/>
      <c r="BE59" s="100"/>
      <c r="BF59" s="145"/>
      <c r="BG59" s="141"/>
      <c r="BH59" s="30"/>
      <c r="BI59" s="30"/>
      <c r="BJ59" s="30"/>
      <c r="BK59" s="30"/>
      <c r="BL59" s="30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0"/>
      <c r="CA59" s="30"/>
      <c r="CB59" s="30"/>
      <c r="CC59" s="30"/>
      <c r="CD59" s="30"/>
      <c r="CE59" s="30"/>
      <c r="CF59" s="30"/>
      <c r="CG59" s="30"/>
      <c r="CH59" s="30"/>
      <c r="CI59" s="30"/>
      <c r="CJ59" s="30"/>
      <c r="CK59" s="30"/>
      <c r="CL59" s="30"/>
      <c r="CM59" s="30"/>
      <c r="CN59" s="30"/>
      <c r="CO59" s="30"/>
      <c r="CP59" s="30"/>
      <c r="CQ59" s="30"/>
      <c r="CR59" s="30"/>
      <c r="CS59" s="30"/>
      <c r="CT59" s="30"/>
      <c r="CU59" s="30"/>
      <c r="CV59" s="30"/>
      <c r="CW59" s="30"/>
      <c r="CX59" s="30"/>
      <c r="CY59" s="30"/>
      <c r="CZ59" s="30"/>
      <c r="DA59" s="30"/>
      <c r="DB59" s="30"/>
      <c r="DC59" s="30"/>
      <c r="DD59" s="30"/>
      <c r="DE59" s="30"/>
      <c r="DF59" s="30"/>
      <c r="DG59" s="30"/>
      <c r="DH59" s="30"/>
      <c r="DI59" s="30"/>
      <c r="DJ59" s="30"/>
      <c r="DK59" s="30"/>
      <c r="DL59" s="30"/>
      <c r="DM59" s="30"/>
      <c r="DN59" s="30"/>
    </row>
    <row r="60" spans="1:118" ht="12.75">
      <c r="A60" s="30">
        <v>54</v>
      </c>
      <c r="B60" s="30">
        <v>54</v>
      </c>
      <c r="C60" s="103">
        <v>3.9</v>
      </c>
      <c r="D60" s="104">
        <v>4.2</v>
      </c>
      <c r="E60" s="108">
        <v>4.6</v>
      </c>
      <c r="F60" s="82"/>
      <c r="G60" s="18"/>
      <c r="H60" s="159"/>
      <c r="I60" s="100"/>
      <c r="J60" s="100"/>
      <c r="K60" s="100"/>
      <c r="L60" s="83"/>
      <c r="M60" s="83"/>
      <c r="N60" s="83"/>
      <c r="O60" s="83"/>
      <c r="P60" s="83"/>
      <c r="Q60" s="83"/>
      <c r="R60" s="84"/>
      <c r="S60" s="85"/>
      <c r="T60" s="83"/>
      <c r="U60" s="83"/>
      <c r="V60" s="83"/>
      <c r="W60" s="83"/>
      <c r="X60" s="83"/>
      <c r="Y60" s="83"/>
      <c r="Z60" s="83"/>
      <c r="AA60" s="83"/>
      <c r="AB60" s="83"/>
      <c r="AC60" s="83"/>
      <c r="AD60" s="83"/>
      <c r="AE60" s="83"/>
      <c r="AF60" s="83"/>
      <c r="AG60" s="83"/>
      <c r="AH60" s="83"/>
      <c r="AI60" s="83"/>
      <c r="AJ60" s="83"/>
      <c r="AK60" s="83"/>
      <c r="AL60" s="83"/>
      <c r="AM60" s="83"/>
      <c r="AN60" s="83"/>
      <c r="AO60" s="83"/>
      <c r="AP60" s="83"/>
      <c r="AQ60" s="83"/>
      <c r="AR60" s="83"/>
      <c r="AS60" s="83"/>
      <c r="AT60" s="83"/>
      <c r="AU60" s="83"/>
      <c r="AV60" s="83"/>
      <c r="AW60" s="83"/>
      <c r="AX60" s="83"/>
      <c r="AY60" s="83"/>
      <c r="AZ60" s="83"/>
      <c r="BA60" s="83"/>
      <c r="BB60" s="83"/>
      <c r="BC60" s="83"/>
      <c r="BD60" s="83"/>
      <c r="BE60" s="100"/>
      <c r="BF60" s="145"/>
      <c r="BG60" s="141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0"/>
      <c r="CI60" s="30"/>
      <c r="CJ60" s="30"/>
      <c r="CK60" s="30"/>
      <c r="CL60" s="30"/>
      <c r="CM60" s="30"/>
      <c r="CN60" s="30"/>
      <c r="CO60" s="30"/>
      <c r="CP60" s="30"/>
      <c r="CQ60" s="30"/>
      <c r="CR60" s="30"/>
      <c r="CS60" s="30"/>
      <c r="CT60" s="30"/>
      <c r="CU60" s="30"/>
      <c r="CV60" s="30"/>
      <c r="CW60" s="30"/>
      <c r="CX60" s="30"/>
      <c r="CY60" s="30"/>
      <c r="CZ60" s="30"/>
      <c r="DA60" s="30"/>
      <c r="DB60" s="30"/>
      <c r="DC60" s="30"/>
      <c r="DD60" s="30"/>
      <c r="DE60" s="30"/>
      <c r="DF60" s="30"/>
      <c r="DG60" s="30"/>
      <c r="DH60" s="30"/>
      <c r="DI60" s="30"/>
      <c r="DJ60" s="30"/>
      <c r="DK60" s="30"/>
      <c r="DL60" s="30"/>
      <c r="DM60" s="30"/>
      <c r="DN60" s="30"/>
    </row>
    <row r="61" spans="1:118" ht="12.75">
      <c r="A61" s="30">
        <v>55</v>
      </c>
      <c r="B61" s="30">
        <v>55</v>
      </c>
      <c r="C61" s="103">
        <v>3.9</v>
      </c>
      <c r="D61" s="104">
        <v>4.2</v>
      </c>
      <c r="E61" s="108">
        <v>4.6</v>
      </c>
      <c r="F61" s="82"/>
      <c r="G61" s="18"/>
      <c r="H61" s="159"/>
      <c r="I61" s="100"/>
      <c r="J61" s="100"/>
      <c r="K61" s="100"/>
      <c r="L61" s="83"/>
      <c r="M61" s="83"/>
      <c r="N61" s="83"/>
      <c r="O61" s="83"/>
      <c r="P61" s="83"/>
      <c r="Q61" s="83"/>
      <c r="R61" s="84"/>
      <c r="S61" s="85"/>
      <c r="T61" s="83"/>
      <c r="U61" s="83"/>
      <c r="V61" s="83"/>
      <c r="W61" s="83"/>
      <c r="X61" s="83"/>
      <c r="Y61" s="83"/>
      <c r="Z61" s="83"/>
      <c r="AA61" s="83"/>
      <c r="AB61" s="83"/>
      <c r="AC61" s="83"/>
      <c r="AD61" s="83"/>
      <c r="AE61" s="83"/>
      <c r="AF61" s="83"/>
      <c r="AG61" s="83"/>
      <c r="AH61" s="83"/>
      <c r="AI61" s="83"/>
      <c r="AJ61" s="83"/>
      <c r="AK61" s="83"/>
      <c r="AL61" s="83"/>
      <c r="AM61" s="83"/>
      <c r="AN61" s="83"/>
      <c r="AO61" s="83"/>
      <c r="AP61" s="83"/>
      <c r="AQ61" s="83"/>
      <c r="AR61" s="83"/>
      <c r="AS61" s="83"/>
      <c r="AT61" s="83"/>
      <c r="AU61" s="83"/>
      <c r="AV61" s="83"/>
      <c r="AW61" s="83"/>
      <c r="AX61" s="83"/>
      <c r="AY61" s="83"/>
      <c r="AZ61" s="83"/>
      <c r="BA61" s="83"/>
      <c r="BB61" s="83"/>
      <c r="BC61" s="83"/>
      <c r="BD61" s="83"/>
      <c r="BE61" s="100"/>
      <c r="BF61" s="145"/>
      <c r="BG61" s="141"/>
      <c r="BH61" s="30"/>
      <c r="BI61" s="30"/>
      <c r="BJ61" s="30"/>
      <c r="BK61" s="30"/>
      <c r="BL61" s="30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0"/>
      <c r="BX61" s="30"/>
      <c r="BY61" s="30"/>
      <c r="BZ61" s="30"/>
      <c r="CA61" s="30"/>
      <c r="CB61" s="30"/>
      <c r="CC61" s="30"/>
      <c r="CD61" s="30"/>
      <c r="CE61" s="30"/>
      <c r="CF61" s="30"/>
      <c r="CG61" s="30"/>
      <c r="CH61" s="30"/>
      <c r="CI61" s="30"/>
      <c r="CJ61" s="30"/>
      <c r="CK61" s="30"/>
      <c r="CL61" s="30"/>
      <c r="CM61" s="30"/>
      <c r="CN61" s="30"/>
      <c r="CO61" s="30"/>
      <c r="CP61" s="30"/>
      <c r="CQ61" s="30"/>
      <c r="CR61" s="30"/>
      <c r="CS61" s="30"/>
      <c r="CT61" s="30"/>
      <c r="CU61" s="30"/>
      <c r="CV61" s="30"/>
      <c r="CW61" s="30"/>
      <c r="CX61" s="30"/>
      <c r="CY61" s="30"/>
      <c r="CZ61" s="30"/>
      <c r="DA61" s="30"/>
      <c r="DB61" s="30"/>
      <c r="DC61" s="30"/>
      <c r="DD61" s="30"/>
      <c r="DE61" s="30"/>
      <c r="DF61" s="30"/>
      <c r="DG61" s="30"/>
      <c r="DH61" s="30"/>
      <c r="DI61" s="30"/>
      <c r="DJ61" s="30"/>
      <c r="DK61" s="30"/>
      <c r="DL61" s="30"/>
      <c r="DM61" s="30"/>
      <c r="DN61" s="30"/>
    </row>
    <row r="62" spans="1:118" ht="12.75">
      <c r="A62" s="30">
        <v>56</v>
      </c>
      <c r="B62" s="30">
        <v>56</v>
      </c>
      <c r="C62" s="103">
        <v>3.9</v>
      </c>
      <c r="D62" s="104">
        <v>4.2</v>
      </c>
      <c r="E62" s="108">
        <v>4.6</v>
      </c>
      <c r="F62" s="82"/>
      <c r="G62" s="18"/>
      <c r="H62" s="159"/>
      <c r="I62" s="100"/>
      <c r="J62" s="100"/>
      <c r="K62" s="100"/>
      <c r="L62" s="83"/>
      <c r="M62" s="83"/>
      <c r="N62" s="83"/>
      <c r="O62" s="83"/>
      <c r="P62" s="83"/>
      <c r="Q62" s="83"/>
      <c r="R62" s="84"/>
      <c r="S62" s="85"/>
      <c r="T62" s="83"/>
      <c r="U62" s="83"/>
      <c r="V62" s="83"/>
      <c r="W62" s="83"/>
      <c r="X62" s="83"/>
      <c r="Y62" s="83"/>
      <c r="Z62" s="83"/>
      <c r="AA62" s="83"/>
      <c r="AB62" s="83"/>
      <c r="AC62" s="83"/>
      <c r="AD62" s="83"/>
      <c r="AE62" s="83"/>
      <c r="AF62" s="83"/>
      <c r="AG62" s="83"/>
      <c r="AH62" s="83"/>
      <c r="AI62" s="83"/>
      <c r="AJ62" s="83"/>
      <c r="AK62" s="83"/>
      <c r="AL62" s="83"/>
      <c r="AM62" s="83"/>
      <c r="AN62" s="83"/>
      <c r="AO62" s="83"/>
      <c r="AP62" s="83"/>
      <c r="AQ62" s="83"/>
      <c r="AR62" s="83"/>
      <c r="AS62" s="83"/>
      <c r="AT62" s="83"/>
      <c r="AU62" s="83"/>
      <c r="AV62" s="83"/>
      <c r="AW62" s="83"/>
      <c r="AX62" s="83"/>
      <c r="AY62" s="83"/>
      <c r="AZ62" s="83"/>
      <c r="BA62" s="83"/>
      <c r="BB62" s="83"/>
      <c r="BC62" s="83"/>
      <c r="BD62" s="83"/>
      <c r="BE62" s="100"/>
      <c r="BF62" s="145"/>
      <c r="BG62" s="141"/>
      <c r="BH62" s="30"/>
      <c r="BI62" s="30"/>
      <c r="BJ62" s="30"/>
      <c r="BK62" s="30"/>
      <c r="BL62" s="30"/>
      <c r="BM62" s="30"/>
      <c r="BN62" s="30"/>
      <c r="BO62" s="30"/>
      <c r="BP62" s="30"/>
      <c r="BQ62" s="30"/>
      <c r="BR62" s="30"/>
      <c r="BS62" s="30"/>
      <c r="BT62" s="30"/>
      <c r="BU62" s="30"/>
      <c r="BV62" s="30"/>
      <c r="BW62" s="30"/>
      <c r="BX62" s="30"/>
      <c r="BY62" s="30"/>
      <c r="BZ62" s="30"/>
      <c r="CA62" s="30"/>
      <c r="CB62" s="30"/>
      <c r="CC62" s="30"/>
      <c r="CD62" s="30"/>
      <c r="CE62" s="30"/>
      <c r="CF62" s="30"/>
      <c r="CG62" s="30"/>
      <c r="CH62" s="30"/>
      <c r="CI62" s="30"/>
      <c r="CJ62" s="30"/>
      <c r="CK62" s="30"/>
      <c r="CL62" s="30"/>
      <c r="CM62" s="30"/>
      <c r="CN62" s="30"/>
      <c r="CO62" s="30"/>
      <c r="CP62" s="30"/>
      <c r="CQ62" s="30"/>
      <c r="CR62" s="30"/>
      <c r="CS62" s="30"/>
      <c r="CT62" s="30"/>
      <c r="CU62" s="30"/>
      <c r="CV62" s="30"/>
      <c r="CW62" s="30"/>
      <c r="CX62" s="30"/>
      <c r="CY62" s="30"/>
      <c r="CZ62" s="30"/>
      <c r="DA62" s="30"/>
      <c r="DB62" s="30"/>
      <c r="DC62" s="30"/>
      <c r="DD62" s="30"/>
      <c r="DE62" s="30"/>
      <c r="DF62" s="30"/>
      <c r="DG62" s="30"/>
      <c r="DH62" s="30"/>
      <c r="DI62" s="30"/>
      <c r="DJ62" s="30"/>
      <c r="DK62" s="30"/>
      <c r="DL62" s="30"/>
      <c r="DM62" s="30"/>
      <c r="DN62" s="30"/>
    </row>
    <row r="63" spans="1:118" ht="12.75">
      <c r="A63" s="30">
        <v>57</v>
      </c>
      <c r="B63" s="30">
        <v>57</v>
      </c>
      <c r="C63" s="103">
        <v>1</v>
      </c>
      <c r="D63" s="104">
        <v>1</v>
      </c>
      <c r="E63" s="108">
        <v>1</v>
      </c>
      <c r="F63" s="82"/>
      <c r="G63" s="18"/>
      <c r="H63" s="159"/>
      <c r="I63" s="100"/>
      <c r="J63" s="100"/>
      <c r="K63" s="100"/>
      <c r="L63" s="83"/>
      <c r="M63" s="83"/>
      <c r="N63" s="83"/>
      <c r="O63" s="83"/>
      <c r="P63" s="83"/>
      <c r="Q63" s="83"/>
      <c r="R63" s="84"/>
      <c r="S63" s="85"/>
      <c r="T63" s="83"/>
      <c r="U63" s="83"/>
      <c r="V63" s="83"/>
      <c r="W63" s="83"/>
      <c r="X63" s="83"/>
      <c r="Y63" s="83"/>
      <c r="Z63" s="83"/>
      <c r="AA63" s="83"/>
      <c r="AB63" s="83"/>
      <c r="AC63" s="83"/>
      <c r="AD63" s="83"/>
      <c r="AE63" s="83"/>
      <c r="AF63" s="83"/>
      <c r="AG63" s="83"/>
      <c r="AH63" s="83"/>
      <c r="AI63" s="83"/>
      <c r="AJ63" s="83"/>
      <c r="AK63" s="83"/>
      <c r="AL63" s="83"/>
      <c r="AM63" s="83"/>
      <c r="AN63" s="83"/>
      <c r="AO63" s="83"/>
      <c r="AP63" s="83"/>
      <c r="AQ63" s="83"/>
      <c r="AR63" s="83"/>
      <c r="AS63" s="83"/>
      <c r="AT63" s="83"/>
      <c r="AU63" s="83"/>
      <c r="AV63" s="83"/>
      <c r="AW63" s="83"/>
      <c r="AX63" s="83"/>
      <c r="AY63" s="83"/>
      <c r="AZ63" s="83"/>
      <c r="BA63" s="83"/>
      <c r="BB63" s="83"/>
      <c r="BC63" s="83"/>
      <c r="BD63" s="83"/>
      <c r="BE63" s="100"/>
      <c r="BF63" s="145"/>
      <c r="BG63" s="141"/>
      <c r="BH63" s="30"/>
      <c r="BI63" s="30"/>
      <c r="BJ63" s="30"/>
      <c r="BK63" s="30"/>
      <c r="BL63" s="30"/>
      <c r="BM63" s="30"/>
      <c r="BN63" s="30"/>
      <c r="BO63" s="30"/>
      <c r="BP63" s="30"/>
      <c r="BQ63" s="30"/>
      <c r="BR63" s="30"/>
      <c r="BS63" s="30"/>
      <c r="BT63" s="30"/>
      <c r="BU63" s="30"/>
      <c r="BV63" s="30"/>
      <c r="BW63" s="30"/>
      <c r="BX63" s="30"/>
      <c r="BY63" s="30"/>
      <c r="BZ63" s="30"/>
      <c r="CA63" s="30"/>
      <c r="CB63" s="30"/>
      <c r="CC63" s="30"/>
      <c r="CD63" s="30"/>
      <c r="CE63" s="30"/>
      <c r="CF63" s="30"/>
      <c r="CG63" s="30"/>
      <c r="CH63" s="30"/>
      <c r="CI63" s="30"/>
      <c r="CJ63" s="30"/>
      <c r="CK63" s="30"/>
      <c r="CL63" s="30"/>
      <c r="CM63" s="30"/>
      <c r="CN63" s="30"/>
      <c r="CO63" s="30"/>
      <c r="CP63" s="30"/>
      <c r="CQ63" s="30"/>
      <c r="CR63" s="30"/>
      <c r="CS63" s="30"/>
      <c r="CT63" s="30"/>
      <c r="CU63" s="30"/>
      <c r="CV63" s="30"/>
      <c r="CW63" s="30"/>
      <c r="CX63" s="30"/>
      <c r="CY63" s="30"/>
      <c r="CZ63" s="30"/>
      <c r="DA63" s="30"/>
      <c r="DB63" s="30"/>
      <c r="DC63" s="30"/>
      <c r="DD63" s="30"/>
      <c r="DE63" s="30"/>
      <c r="DF63" s="30"/>
      <c r="DG63" s="30"/>
      <c r="DH63" s="30"/>
      <c r="DI63" s="30"/>
      <c r="DJ63" s="30"/>
      <c r="DK63" s="30"/>
      <c r="DL63" s="30"/>
      <c r="DM63" s="30"/>
      <c r="DN63" s="30"/>
    </row>
    <row r="64" spans="1:118" ht="12.75">
      <c r="A64" s="30">
        <v>58</v>
      </c>
      <c r="B64" s="30">
        <v>58</v>
      </c>
      <c r="C64" s="103">
        <v>1</v>
      </c>
      <c r="D64" s="104">
        <v>1</v>
      </c>
      <c r="E64" s="108">
        <v>1</v>
      </c>
      <c r="F64" s="82"/>
      <c r="G64" s="18"/>
      <c r="H64" s="159"/>
      <c r="I64" s="100"/>
      <c r="J64" s="100"/>
      <c r="K64" s="100"/>
      <c r="L64" s="83"/>
      <c r="M64" s="83"/>
      <c r="N64" s="83"/>
      <c r="O64" s="83"/>
      <c r="P64" s="83"/>
      <c r="Q64" s="83"/>
      <c r="R64" s="84"/>
      <c r="S64" s="85"/>
      <c r="T64" s="83"/>
      <c r="U64" s="83"/>
      <c r="V64" s="83"/>
      <c r="W64" s="83"/>
      <c r="X64" s="83"/>
      <c r="Y64" s="83"/>
      <c r="Z64" s="83"/>
      <c r="AA64" s="83"/>
      <c r="AB64" s="83"/>
      <c r="AC64" s="83"/>
      <c r="AD64" s="83"/>
      <c r="AE64" s="83"/>
      <c r="AF64" s="83"/>
      <c r="AG64" s="83"/>
      <c r="AH64" s="83"/>
      <c r="AI64" s="83"/>
      <c r="AJ64" s="83"/>
      <c r="AK64" s="83"/>
      <c r="AL64" s="83"/>
      <c r="AM64" s="83"/>
      <c r="AN64" s="83"/>
      <c r="AO64" s="83"/>
      <c r="AP64" s="83"/>
      <c r="AQ64" s="83"/>
      <c r="AR64" s="83"/>
      <c r="AS64" s="83"/>
      <c r="AT64" s="83"/>
      <c r="AU64" s="83"/>
      <c r="AV64" s="83"/>
      <c r="AW64" s="83"/>
      <c r="AX64" s="83"/>
      <c r="AY64" s="83"/>
      <c r="AZ64" s="83"/>
      <c r="BA64" s="83"/>
      <c r="BB64" s="83"/>
      <c r="BC64" s="83"/>
      <c r="BD64" s="83"/>
      <c r="BE64" s="100"/>
      <c r="BF64" s="145"/>
      <c r="BG64" s="141"/>
      <c r="BH64" s="30"/>
      <c r="BI64" s="30"/>
      <c r="BJ64" s="30"/>
      <c r="BK64" s="30"/>
      <c r="BL64" s="30"/>
      <c r="BM64" s="30"/>
      <c r="BN64" s="30"/>
      <c r="BO64" s="30"/>
      <c r="BP64" s="30"/>
      <c r="BQ64" s="30"/>
      <c r="BR64" s="30"/>
      <c r="BS64" s="30"/>
      <c r="BT64" s="30"/>
      <c r="BU64" s="30"/>
      <c r="BV64" s="30"/>
      <c r="BW64" s="30"/>
      <c r="BX64" s="30"/>
      <c r="BY64" s="30"/>
      <c r="BZ64" s="30"/>
      <c r="CA64" s="30"/>
      <c r="CB64" s="30"/>
      <c r="CC64" s="30"/>
      <c r="CD64" s="30"/>
      <c r="CE64" s="30"/>
      <c r="CF64" s="30"/>
      <c r="CG64" s="30"/>
      <c r="CH64" s="30"/>
      <c r="CI64" s="30"/>
      <c r="CJ64" s="30"/>
      <c r="CK64" s="30"/>
      <c r="CL64" s="30"/>
      <c r="CM64" s="30"/>
      <c r="CN64" s="30"/>
      <c r="CO64" s="30"/>
      <c r="CP64" s="30"/>
      <c r="CQ64" s="30"/>
      <c r="CR64" s="30"/>
      <c r="CS64" s="30"/>
      <c r="CT64" s="30"/>
      <c r="CU64" s="30"/>
      <c r="CV64" s="30"/>
      <c r="CW64" s="30"/>
      <c r="CX64" s="30"/>
      <c r="CY64" s="30"/>
      <c r="CZ64" s="30"/>
      <c r="DA64" s="30"/>
      <c r="DB64" s="30"/>
      <c r="DC64" s="30"/>
      <c r="DD64" s="30"/>
      <c r="DE64" s="30"/>
      <c r="DF64" s="30"/>
      <c r="DG64" s="30"/>
      <c r="DH64" s="30"/>
      <c r="DI64" s="30"/>
      <c r="DJ64" s="30"/>
      <c r="DK64" s="30"/>
      <c r="DL64" s="30"/>
      <c r="DM64" s="30"/>
      <c r="DN64" s="30"/>
    </row>
    <row r="65" spans="1:118" ht="12.75">
      <c r="A65" s="30">
        <v>59</v>
      </c>
      <c r="B65" s="30">
        <v>59</v>
      </c>
      <c r="C65" s="103">
        <v>1</v>
      </c>
      <c r="D65" s="104">
        <v>1</v>
      </c>
      <c r="E65" s="108">
        <v>1</v>
      </c>
      <c r="F65" s="82"/>
      <c r="G65" s="18"/>
      <c r="H65" s="159"/>
      <c r="I65" s="100"/>
      <c r="J65" s="100"/>
      <c r="K65" s="100"/>
      <c r="L65" s="83"/>
      <c r="M65" s="83"/>
      <c r="N65" s="83"/>
      <c r="O65" s="83"/>
      <c r="P65" s="83"/>
      <c r="Q65" s="83"/>
      <c r="R65" s="84"/>
      <c r="S65" s="85"/>
      <c r="T65" s="83"/>
      <c r="U65" s="83"/>
      <c r="V65" s="83"/>
      <c r="W65" s="83"/>
      <c r="X65" s="83"/>
      <c r="Y65" s="83"/>
      <c r="Z65" s="83"/>
      <c r="AA65" s="83"/>
      <c r="AB65" s="83"/>
      <c r="AC65" s="83"/>
      <c r="AD65" s="83"/>
      <c r="AE65" s="83"/>
      <c r="AF65" s="83"/>
      <c r="AG65" s="83"/>
      <c r="AH65" s="83"/>
      <c r="AI65" s="83"/>
      <c r="AJ65" s="83"/>
      <c r="AK65" s="83"/>
      <c r="AL65" s="83"/>
      <c r="AM65" s="83"/>
      <c r="AN65" s="83"/>
      <c r="AO65" s="83"/>
      <c r="AP65" s="83"/>
      <c r="AQ65" s="83"/>
      <c r="AR65" s="83"/>
      <c r="AS65" s="83"/>
      <c r="AT65" s="83"/>
      <c r="AU65" s="83"/>
      <c r="AV65" s="83"/>
      <c r="AW65" s="83"/>
      <c r="AX65" s="83"/>
      <c r="AY65" s="83"/>
      <c r="AZ65" s="83"/>
      <c r="BA65" s="83"/>
      <c r="BB65" s="83"/>
      <c r="BC65" s="83"/>
      <c r="BD65" s="83"/>
      <c r="BE65" s="100"/>
      <c r="BF65" s="145"/>
      <c r="BG65" s="141"/>
      <c r="BH65" s="30"/>
      <c r="BI65" s="30"/>
      <c r="BJ65" s="30"/>
      <c r="BK65" s="30"/>
      <c r="BL65" s="30"/>
      <c r="BM65" s="30"/>
      <c r="BN65" s="30"/>
      <c r="BO65" s="30"/>
      <c r="BP65" s="30"/>
      <c r="BQ65" s="30"/>
      <c r="BR65" s="30"/>
      <c r="BS65" s="30"/>
      <c r="BT65" s="30"/>
      <c r="BU65" s="30"/>
      <c r="BV65" s="30"/>
      <c r="BW65" s="30"/>
      <c r="BX65" s="30"/>
      <c r="BY65" s="30"/>
      <c r="BZ65" s="30"/>
      <c r="CA65" s="30"/>
      <c r="CB65" s="30"/>
      <c r="CC65" s="30"/>
      <c r="CD65" s="30"/>
      <c r="CE65" s="30"/>
      <c r="CF65" s="30"/>
      <c r="CG65" s="30"/>
      <c r="CH65" s="30"/>
      <c r="CI65" s="30"/>
      <c r="CJ65" s="30"/>
      <c r="CK65" s="30"/>
      <c r="CL65" s="30"/>
      <c r="CM65" s="30"/>
      <c r="CN65" s="30"/>
      <c r="CO65" s="30"/>
      <c r="CP65" s="30"/>
      <c r="CQ65" s="30"/>
      <c r="CR65" s="30"/>
      <c r="CS65" s="30"/>
      <c r="CT65" s="30"/>
      <c r="CU65" s="30"/>
      <c r="CV65" s="30"/>
      <c r="CW65" s="30"/>
      <c r="CX65" s="30"/>
      <c r="CY65" s="30"/>
      <c r="CZ65" s="30"/>
      <c r="DA65" s="30"/>
      <c r="DB65" s="30"/>
      <c r="DC65" s="30"/>
      <c r="DD65" s="30"/>
      <c r="DE65" s="30"/>
      <c r="DF65" s="30"/>
      <c r="DG65" s="30"/>
      <c r="DH65" s="30"/>
      <c r="DI65" s="30"/>
      <c r="DJ65" s="30"/>
      <c r="DK65" s="30"/>
      <c r="DL65" s="30"/>
      <c r="DM65" s="30"/>
      <c r="DN65" s="30"/>
    </row>
    <row r="66" spans="1:118" ht="12.75">
      <c r="A66" s="30">
        <v>60</v>
      </c>
      <c r="B66" s="30">
        <v>60</v>
      </c>
      <c r="C66" s="103">
        <v>1</v>
      </c>
      <c r="D66" s="104">
        <v>1</v>
      </c>
      <c r="E66" s="108">
        <v>1</v>
      </c>
      <c r="F66" s="82"/>
      <c r="G66" s="18"/>
      <c r="H66" s="159"/>
      <c r="I66" s="100"/>
      <c r="J66" s="100"/>
      <c r="K66" s="100"/>
      <c r="L66" s="83"/>
      <c r="M66" s="83"/>
      <c r="N66" s="83"/>
      <c r="O66" s="83"/>
      <c r="P66" s="84"/>
      <c r="Q66" s="84"/>
      <c r="R66" s="84"/>
      <c r="S66" s="85"/>
      <c r="T66" s="83"/>
      <c r="U66" s="83"/>
      <c r="V66" s="83"/>
      <c r="W66" s="83"/>
      <c r="X66" s="83"/>
      <c r="Y66" s="83"/>
      <c r="Z66" s="83"/>
      <c r="AA66" s="83"/>
      <c r="AB66" s="83"/>
      <c r="AC66" s="83"/>
      <c r="AD66" s="83"/>
      <c r="AE66" s="83"/>
      <c r="AF66" s="83"/>
      <c r="AG66" s="83"/>
      <c r="AH66" s="83"/>
      <c r="AI66" s="83"/>
      <c r="AJ66" s="83"/>
      <c r="AK66" s="83"/>
      <c r="AL66" s="83"/>
      <c r="AM66" s="83"/>
      <c r="AN66" s="83"/>
      <c r="AO66" s="83"/>
      <c r="AP66" s="83"/>
      <c r="AQ66" s="83"/>
      <c r="AR66" s="83"/>
      <c r="AS66" s="83"/>
      <c r="AT66" s="83"/>
      <c r="AU66" s="83"/>
      <c r="AV66" s="83"/>
      <c r="AW66" s="83"/>
      <c r="AX66" s="83"/>
      <c r="AY66" s="83"/>
      <c r="AZ66" s="83"/>
      <c r="BA66" s="83"/>
      <c r="BB66" s="83"/>
      <c r="BC66" s="83"/>
      <c r="BD66" s="83"/>
      <c r="BE66" s="100"/>
      <c r="BF66" s="145"/>
      <c r="BG66" s="141"/>
      <c r="BH66" s="30"/>
      <c r="BI66" s="30"/>
      <c r="BJ66" s="30"/>
      <c r="BK66" s="30"/>
      <c r="BL66" s="30"/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0"/>
      <c r="BX66" s="30"/>
      <c r="BY66" s="30"/>
      <c r="BZ66" s="30"/>
      <c r="CA66" s="30"/>
      <c r="CB66" s="30"/>
      <c r="CC66" s="30"/>
      <c r="CD66" s="30"/>
      <c r="CE66" s="30"/>
      <c r="CF66" s="30"/>
      <c r="CG66" s="30"/>
      <c r="CH66" s="30"/>
      <c r="CI66" s="30"/>
      <c r="CJ66" s="30"/>
      <c r="CK66" s="30"/>
      <c r="CL66" s="30"/>
      <c r="CM66" s="30"/>
      <c r="CN66" s="30"/>
      <c r="CO66" s="30"/>
      <c r="CP66" s="30"/>
      <c r="CQ66" s="30"/>
      <c r="CR66" s="30"/>
      <c r="CS66" s="30"/>
      <c r="CT66" s="30"/>
      <c r="CU66" s="30"/>
      <c r="CV66" s="30"/>
      <c r="CW66" s="30"/>
      <c r="CX66" s="30"/>
      <c r="CY66" s="30"/>
      <c r="CZ66" s="30"/>
      <c r="DA66" s="30"/>
      <c r="DB66" s="30"/>
      <c r="DC66" s="30"/>
      <c r="DD66" s="30"/>
      <c r="DE66" s="30"/>
      <c r="DF66" s="30"/>
      <c r="DG66" s="30"/>
      <c r="DH66" s="30"/>
      <c r="DI66" s="30"/>
      <c r="DJ66" s="30"/>
      <c r="DK66" s="30"/>
      <c r="DL66" s="30"/>
      <c r="DM66" s="30"/>
      <c r="DN66" s="30"/>
    </row>
    <row r="67" spans="1:118" ht="12.75">
      <c r="A67" s="30">
        <v>61</v>
      </c>
      <c r="B67" s="30">
        <v>61</v>
      </c>
      <c r="C67" s="103">
        <v>1</v>
      </c>
      <c r="D67" s="104">
        <v>1</v>
      </c>
      <c r="E67" s="108">
        <v>1</v>
      </c>
      <c r="F67" s="82"/>
      <c r="G67" s="18"/>
      <c r="H67" s="159"/>
      <c r="I67" s="100"/>
      <c r="J67" s="100"/>
      <c r="K67" s="100"/>
      <c r="L67" s="83"/>
      <c r="M67" s="83"/>
      <c r="N67" s="83"/>
      <c r="O67" s="83"/>
      <c r="P67" s="84"/>
      <c r="Q67" s="84"/>
      <c r="R67" s="84"/>
      <c r="S67" s="85"/>
      <c r="T67" s="83"/>
      <c r="U67" s="83"/>
      <c r="V67" s="83"/>
      <c r="W67" s="83"/>
      <c r="X67" s="83"/>
      <c r="Y67" s="83"/>
      <c r="Z67" s="83"/>
      <c r="AA67" s="83"/>
      <c r="AB67" s="83"/>
      <c r="AC67" s="83"/>
      <c r="AD67" s="83"/>
      <c r="AE67" s="83"/>
      <c r="AF67" s="83"/>
      <c r="AG67" s="83"/>
      <c r="AH67" s="83"/>
      <c r="AI67" s="83"/>
      <c r="AJ67" s="83"/>
      <c r="AK67" s="83"/>
      <c r="AL67" s="83"/>
      <c r="AM67" s="83"/>
      <c r="AN67" s="83"/>
      <c r="AO67" s="83"/>
      <c r="AP67" s="83"/>
      <c r="AQ67" s="83"/>
      <c r="AR67" s="83"/>
      <c r="AS67" s="83"/>
      <c r="AT67" s="83"/>
      <c r="AU67" s="83"/>
      <c r="AV67" s="83"/>
      <c r="AW67" s="83"/>
      <c r="AX67" s="83"/>
      <c r="AY67" s="83"/>
      <c r="AZ67" s="83"/>
      <c r="BA67" s="83"/>
      <c r="BB67" s="83"/>
      <c r="BC67" s="83"/>
      <c r="BD67" s="83"/>
      <c r="BE67" s="100"/>
      <c r="BF67" s="145"/>
      <c r="BG67" s="141"/>
      <c r="BH67" s="30"/>
      <c r="BI67" s="30"/>
      <c r="BJ67" s="30"/>
      <c r="BK67" s="30"/>
      <c r="BL67" s="30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0"/>
      <c r="CA67" s="30"/>
      <c r="CB67" s="30"/>
      <c r="CC67" s="30"/>
      <c r="CD67" s="30"/>
      <c r="CE67" s="30"/>
      <c r="CF67" s="30"/>
      <c r="CG67" s="30"/>
      <c r="CH67" s="30"/>
      <c r="CI67" s="30"/>
      <c r="CJ67" s="30"/>
      <c r="CK67" s="30"/>
      <c r="CL67" s="30"/>
      <c r="CM67" s="30"/>
      <c r="CN67" s="30"/>
      <c r="CO67" s="30"/>
      <c r="CP67" s="30"/>
      <c r="CQ67" s="30"/>
      <c r="CR67" s="30"/>
      <c r="CS67" s="30"/>
      <c r="CT67" s="30"/>
      <c r="CU67" s="30"/>
      <c r="CV67" s="30"/>
      <c r="CW67" s="30"/>
      <c r="CX67" s="30"/>
      <c r="CY67" s="30"/>
      <c r="CZ67" s="30"/>
      <c r="DA67" s="30"/>
      <c r="DB67" s="30"/>
      <c r="DC67" s="30"/>
      <c r="DD67" s="30"/>
      <c r="DE67" s="30"/>
      <c r="DF67" s="30"/>
      <c r="DG67" s="30"/>
      <c r="DH67" s="30"/>
      <c r="DI67" s="30"/>
      <c r="DJ67" s="30"/>
      <c r="DK67" s="30"/>
      <c r="DL67" s="30"/>
      <c r="DM67" s="30"/>
      <c r="DN67" s="30"/>
    </row>
    <row r="68" spans="1:118" ht="12.75">
      <c r="A68" s="30">
        <v>62</v>
      </c>
      <c r="B68" s="30">
        <v>62</v>
      </c>
      <c r="C68" s="103">
        <v>1</v>
      </c>
      <c r="D68" s="104">
        <v>1</v>
      </c>
      <c r="E68" s="108">
        <v>1</v>
      </c>
      <c r="F68" s="82"/>
      <c r="G68" s="18"/>
      <c r="H68" s="159"/>
      <c r="I68" s="100"/>
      <c r="J68" s="100"/>
      <c r="K68" s="100"/>
      <c r="L68" s="83"/>
      <c r="M68" s="83"/>
      <c r="N68" s="83"/>
      <c r="O68" s="83"/>
      <c r="P68" s="84"/>
      <c r="Q68" s="84"/>
      <c r="R68" s="84"/>
      <c r="S68" s="85"/>
      <c r="T68" s="83"/>
      <c r="U68" s="83"/>
      <c r="V68" s="83"/>
      <c r="W68" s="83"/>
      <c r="X68" s="83"/>
      <c r="Y68" s="83"/>
      <c r="Z68" s="83"/>
      <c r="AA68" s="83"/>
      <c r="AB68" s="83"/>
      <c r="AC68" s="83"/>
      <c r="AD68" s="83"/>
      <c r="AE68" s="83"/>
      <c r="AF68" s="83"/>
      <c r="AG68" s="83"/>
      <c r="AH68" s="83"/>
      <c r="AI68" s="83"/>
      <c r="AJ68" s="83"/>
      <c r="AK68" s="83"/>
      <c r="AL68" s="83"/>
      <c r="AM68" s="83"/>
      <c r="AN68" s="83"/>
      <c r="AO68" s="83"/>
      <c r="AP68" s="83"/>
      <c r="AQ68" s="83"/>
      <c r="AR68" s="83"/>
      <c r="AS68" s="83"/>
      <c r="AT68" s="83"/>
      <c r="AU68" s="83"/>
      <c r="AV68" s="83"/>
      <c r="AW68" s="83"/>
      <c r="AX68" s="83"/>
      <c r="AY68" s="83"/>
      <c r="AZ68" s="83"/>
      <c r="BA68" s="83"/>
      <c r="BB68" s="83"/>
      <c r="BC68" s="83"/>
      <c r="BD68" s="83"/>
      <c r="BE68" s="100"/>
      <c r="BF68" s="145"/>
      <c r="BG68" s="141"/>
      <c r="BH68" s="30"/>
      <c r="BI68" s="30"/>
      <c r="BJ68" s="30"/>
      <c r="BK68" s="30"/>
      <c r="BL68" s="30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0"/>
      <c r="CA68" s="30"/>
      <c r="CB68" s="30"/>
      <c r="CC68" s="30"/>
      <c r="CD68" s="30"/>
      <c r="CE68" s="30"/>
      <c r="CF68" s="30"/>
      <c r="CG68" s="30"/>
      <c r="CH68" s="30"/>
      <c r="CI68" s="30"/>
      <c r="CJ68" s="30"/>
      <c r="CK68" s="30"/>
      <c r="CL68" s="30"/>
      <c r="CM68" s="30"/>
      <c r="CN68" s="30"/>
      <c r="CO68" s="30"/>
      <c r="CP68" s="30"/>
      <c r="CQ68" s="30"/>
      <c r="CR68" s="30"/>
      <c r="CS68" s="30"/>
      <c r="CT68" s="30"/>
      <c r="CU68" s="30"/>
      <c r="CV68" s="30"/>
      <c r="CW68" s="30"/>
      <c r="CX68" s="30"/>
      <c r="CY68" s="30"/>
      <c r="CZ68" s="30"/>
      <c r="DA68" s="30"/>
      <c r="DB68" s="30"/>
      <c r="DC68" s="30"/>
      <c r="DD68" s="30"/>
      <c r="DE68" s="30"/>
      <c r="DF68" s="30"/>
      <c r="DG68" s="30"/>
      <c r="DH68" s="30"/>
      <c r="DI68" s="30"/>
      <c r="DJ68" s="30"/>
      <c r="DK68" s="30"/>
      <c r="DL68" s="30"/>
      <c r="DM68" s="30"/>
      <c r="DN68" s="30"/>
    </row>
    <row r="69" spans="1:118" ht="12.75">
      <c r="A69" s="30">
        <v>63</v>
      </c>
      <c r="B69" s="30">
        <v>63</v>
      </c>
      <c r="C69" s="103">
        <v>1</v>
      </c>
      <c r="D69" s="104">
        <v>1</v>
      </c>
      <c r="E69" s="108">
        <v>1</v>
      </c>
      <c r="F69" s="82"/>
      <c r="G69" s="18"/>
      <c r="H69" s="159"/>
      <c r="I69" s="100"/>
      <c r="J69" s="100"/>
      <c r="K69" s="100"/>
      <c r="L69" s="83"/>
      <c r="M69" s="83"/>
      <c r="N69" s="83"/>
      <c r="O69" s="83"/>
      <c r="P69" s="84"/>
      <c r="Q69" s="84"/>
      <c r="R69" s="84"/>
      <c r="S69" s="85"/>
      <c r="T69" s="83"/>
      <c r="U69" s="83"/>
      <c r="V69" s="83"/>
      <c r="W69" s="83"/>
      <c r="X69" s="83"/>
      <c r="Y69" s="83"/>
      <c r="Z69" s="83"/>
      <c r="AA69" s="83"/>
      <c r="AB69" s="83"/>
      <c r="AC69" s="83"/>
      <c r="AD69" s="83"/>
      <c r="AE69" s="83"/>
      <c r="AF69" s="83"/>
      <c r="AG69" s="83"/>
      <c r="AH69" s="83"/>
      <c r="AI69" s="83"/>
      <c r="AJ69" s="83"/>
      <c r="AK69" s="83"/>
      <c r="AL69" s="83"/>
      <c r="AM69" s="83"/>
      <c r="AN69" s="83"/>
      <c r="AO69" s="83"/>
      <c r="AP69" s="83"/>
      <c r="AQ69" s="83"/>
      <c r="AR69" s="83"/>
      <c r="AS69" s="83"/>
      <c r="AT69" s="83"/>
      <c r="AU69" s="83"/>
      <c r="AV69" s="83"/>
      <c r="AW69" s="83"/>
      <c r="AX69" s="83"/>
      <c r="AY69" s="83"/>
      <c r="AZ69" s="83"/>
      <c r="BA69" s="83"/>
      <c r="BB69" s="83"/>
      <c r="BC69" s="83"/>
      <c r="BD69" s="83"/>
      <c r="BE69" s="100"/>
      <c r="BF69" s="145"/>
      <c r="BG69" s="141"/>
      <c r="BH69" s="30"/>
      <c r="BI69" s="30"/>
      <c r="BJ69" s="30"/>
      <c r="BK69" s="30"/>
      <c r="BL69" s="30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0"/>
      <c r="CA69" s="30"/>
      <c r="CB69" s="30"/>
      <c r="CC69" s="30"/>
      <c r="CD69" s="30"/>
      <c r="CE69" s="30"/>
      <c r="CF69" s="30"/>
      <c r="CG69" s="30"/>
      <c r="CH69" s="30"/>
      <c r="CI69" s="30"/>
      <c r="CJ69" s="30"/>
      <c r="CK69" s="30"/>
      <c r="CL69" s="30"/>
      <c r="CM69" s="30"/>
      <c r="CN69" s="30"/>
      <c r="CO69" s="30"/>
      <c r="CP69" s="30"/>
      <c r="CQ69" s="30"/>
      <c r="CR69" s="30"/>
      <c r="CS69" s="30"/>
      <c r="CT69" s="30"/>
      <c r="CU69" s="30"/>
      <c r="CV69" s="30"/>
      <c r="CW69" s="30"/>
      <c r="CX69" s="30"/>
      <c r="CY69" s="30"/>
      <c r="CZ69" s="30"/>
      <c r="DA69" s="30"/>
      <c r="DB69" s="30"/>
      <c r="DC69" s="30"/>
      <c r="DD69" s="30"/>
      <c r="DE69" s="30"/>
      <c r="DF69" s="30"/>
      <c r="DG69" s="30"/>
      <c r="DH69" s="30"/>
      <c r="DI69" s="30"/>
      <c r="DJ69" s="30"/>
      <c r="DK69" s="30"/>
      <c r="DL69" s="30"/>
      <c r="DM69" s="30"/>
      <c r="DN69" s="30"/>
    </row>
    <row r="70" spans="1:118" s="69" customFormat="1" ht="12.75">
      <c r="A70" s="1">
        <v>64</v>
      </c>
      <c r="B70" s="1">
        <v>64</v>
      </c>
      <c r="C70" s="103">
        <v>1</v>
      </c>
      <c r="D70" s="104">
        <v>1</v>
      </c>
      <c r="E70" s="108">
        <v>1</v>
      </c>
      <c r="F70"/>
      <c r="G70" s="18"/>
      <c r="H70" s="159"/>
      <c r="I70" s="18"/>
      <c r="J70" s="18"/>
      <c r="K70" s="18"/>
      <c r="L70" s="70"/>
      <c r="M70" s="70"/>
      <c r="N70" s="70"/>
      <c r="O70" s="70"/>
      <c r="P70" s="71"/>
      <c r="Q70" s="71"/>
      <c r="R70" s="71"/>
      <c r="S70" s="72"/>
      <c r="T70" s="70"/>
      <c r="U70" s="70"/>
      <c r="V70" s="70"/>
      <c r="W70" s="70"/>
      <c r="X70" s="70"/>
      <c r="Y70" s="70"/>
      <c r="Z70" s="70"/>
      <c r="AA70" s="70"/>
      <c r="AB70" s="70"/>
      <c r="AC70" s="70"/>
      <c r="AD70" s="70"/>
      <c r="AE70" s="70"/>
      <c r="AF70" s="70"/>
      <c r="AG70" s="70"/>
      <c r="AH70" s="70"/>
      <c r="AI70" s="70"/>
      <c r="AJ70" s="70"/>
      <c r="AK70" s="70"/>
      <c r="AL70" s="70"/>
      <c r="AM70" s="70"/>
      <c r="AN70" s="70"/>
      <c r="AO70" s="70"/>
      <c r="AP70" s="70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45"/>
      <c r="BF70" s="145"/>
      <c r="BG70" s="141"/>
      <c r="BH70" s="30"/>
      <c r="BI70" s="30"/>
      <c r="BJ70" s="30"/>
      <c r="BK70" s="30"/>
      <c r="BL70" s="30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0"/>
      <c r="CA70" s="30"/>
      <c r="CB70" s="30"/>
      <c r="CC70" s="30"/>
      <c r="CD70" s="30"/>
      <c r="CE70" s="30"/>
      <c r="CF70" s="30"/>
      <c r="CG70" s="30"/>
      <c r="CH70" s="30"/>
      <c r="CI70" s="30"/>
      <c r="CJ70" s="30"/>
      <c r="CK70" s="30"/>
      <c r="CL70" s="30"/>
      <c r="CM70" s="30"/>
      <c r="CN70" s="30"/>
      <c r="CO70" s="30"/>
      <c r="CP70" s="30"/>
      <c r="CQ70" s="30"/>
      <c r="CR70" s="30"/>
      <c r="CS70" s="30"/>
      <c r="CT70" s="30"/>
      <c r="CU70" s="30"/>
      <c r="CV70" s="30"/>
      <c r="CW70" s="30"/>
      <c r="CX70" s="30"/>
      <c r="CY70" s="30"/>
      <c r="CZ70" s="30"/>
      <c r="DA70" s="30"/>
      <c r="DB70" s="30"/>
      <c r="DC70" s="30"/>
      <c r="DD70" s="30"/>
      <c r="DE70" s="30"/>
      <c r="DF70" s="30"/>
      <c r="DG70" s="30"/>
      <c r="DH70" s="30"/>
      <c r="DI70" s="30"/>
      <c r="DJ70" s="30"/>
      <c r="DK70" s="30"/>
      <c r="DL70" s="30"/>
      <c r="DM70" s="30"/>
      <c r="DN70" s="30"/>
    </row>
    <row r="71" spans="1:118" s="79" customFormat="1" ht="12.75">
      <c r="A71" s="133">
        <v>65</v>
      </c>
      <c r="B71" s="133">
        <v>65</v>
      </c>
      <c r="C71" s="103">
        <v>1</v>
      </c>
      <c r="D71" s="104">
        <v>1</v>
      </c>
      <c r="E71" s="108">
        <v>1</v>
      </c>
      <c r="G71" s="133"/>
      <c r="H71" s="159"/>
      <c r="I71" s="133"/>
      <c r="J71" s="133"/>
      <c r="K71" s="133"/>
      <c r="AQ71" s="133"/>
      <c r="AR71" s="133"/>
      <c r="AS71" s="133"/>
      <c r="AT71" s="133"/>
      <c r="AU71" s="133"/>
      <c r="AV71" s="133"/>
      <c r="AW71" s="133"/>
      <c r="AX71" s="133"/>
      <c r="AY71" s="133"/>
      <c r="AZ71" s="133"/>
      <c r="BA71" s="133"/>
      <c r="BB71" s="133"/>
      <c r="BC71" s="133"/>
      <c r="BD71" s="133"/>
      <c r="BE71" s="150"/>
      <c r="BF71" s="150"/>
      <c r="BG71" s="151"/>
      <c r="BH71" s="152"/>
      <c r="BI71" s="152"/>
      <c r="BJ71" s="152"/>
      <c r="BK71" s="152"/>
      <c r="BL71" s="152"/>
      <c r="BM71" s="152"/>
      <c r="BN71" s="152"/>
      <c r="BO71" s="152"/>
      <c r="BP71" s="152"/>
      <c r="BQ71" s="152"/>
      <c r="BR71" s="152"/>
      <c r="BS71" s="152"/>
      <c r="BT71" s="152"/>
      <c r="BU71" s="152"/>
      <c r="BV71" s="152"/>
      <c r="BW71" s="152"/>
      <c r="BX71" s="152"/>
      <c r="BY71" s="152"/>
      <c r="BZ71" s="152"/>
      <c r="CA71" s="152"/>
      <c r="CB71" s="152"/>
      <c r="CC71" s="152"/>
      <c r="CD71" s="152"/>
      <c r="CE71" s="152"/>
      <c r="CF71" s="152"/>
      <c r="CG71" s="152"/>
      <c r="CH71" s="152"/>
      <c r="CI71" s="152"/>
      <c r="CJ71" s="152"/>
      <c r="CK71" s="152"/>
      <c r="CL71" s="152"/>
      <c r="CM71" s="152"/>
      <c r="CN71" s="152"/>
      <c r="CO71" s="152"/>
      <c r="CP71" s="152"/>
      <c r="CQ71" s="152"/>
      <c r="CR71" s="152"/>
      <c r="CS71" s="152"/>
      <c r="CT71" s="152"/>
      <c r="CU71" s="152"/>
      <c r="CV71" s="152"/>
      <c r="CW71" s="152"/>
      <c r="CX71" s="152"/>
      <c r="CY71" s="152"/>
      <c r="CZ71" s="152"/>
      <c r="DA71" s="152"/>
      <c r="DB71" s="152"/>
      <c r="DC71" s="152"/>
      <c r="DD71" s="152"/>
      <c r="DE71" s="152"/>
      <c r="DF71" s="152"/>
      <c r="DG71" s="152"/>
      <c r="DH71" s="152"/>
      <c r="DI71" s="152"/>
      <c r="DJ71" s="152"/>
      <c r="DK71" s="152"/>
      <c r="DL71" s="152"/>
      <c r="DM71" s="152"/>
      <c r="DN71" s="152"/>
    </row>
    <row r="72" spans="1:118" ht="12.75">
      <c r="A72" s="30">
        <v>66</v>
      </c>
      <c r="B72" s="30">
        <v>67</v>
      </c>
      <c r="C72" s="103">
        <v>6</v>
      </c>
      <c r="D72" s="104">
        <v>9</v>
      </c>
      <c r="E72" s="108">
        <v>1</v>
      </c>
      <c r="H72" s="159"/>
      <c r="I72" s="9"/>
      <c r="J72" s="13"/>
      <c r="K72" s="14"/>
      <c r="L72" s="13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45"/>
      <c r="BF72" s="30"/>
      <c r="BG72" s="141"/>
      <c r="BH72" s="30"/>
      <c r="BI72" s="30"/>
      <c r="BJ72" s="30"/>
      <c r="BK72" s="30"/>
      <c r="BL72" s="30"/>
      <c r="BM72" s="30"/>
      <c r="BN72" s="30"/>
      <c r="BO72" s="30"/>
      <c r="BP72" s="30"/>
      <c r="BQ72" s="30"/>
      <c r="BR72" s="30"/>
      <c r="BS72" s="30"/>
      <c r="BT72" s="30"/>
      <c r="BU72" s="30"/>
      <c r="BV72" s="30"/>
      <c r="BW72" s="30"/>
      <c r="BX72" s="30"/>
      <c r="BY72" s="30"/>
      <c r="BZ72" s="30"/>
      <c r="CA72" s="30"/>
      <c r="CB72" s="30"/>
      <c r="CC72" s="30"/>
      <c r="CD72" s="30"/>
      <c r="CE72" s="30"/>
      <c r="CF72" s="30"/>
      <c r="CG72" s="30"/>
      <c r="CH72" s="30"/>
      <c r="CI72" s="30"/>
      <c r="CJ72" s="30"/>
      <c r="CK72" s="30"/>
      <c r="CL72" s="30"/>
      <c r="CM72" s="30"/>
      <c r="CN72" s="30"/>
      <c r="CO72" s="30"/>
      <c r="CP72" s="30"/>
      <c r="CQ72" s="30"/>
      <c r="CR72" s="30"/>
      <c r="CS72" s="30"/>
      <c r="CT72" s="30"/>
      <c r="CU72" s="30"/>
      <c r="CV72" s="30"/>
      <c r="CW72" s="30"/>
      <c r="CX72" s="30"/>
      <c r="CY72" s="30"/>
      <c r="CZ72" s="30"/>
      <c r="DA72" s="30"/>
      <c r="DB72" s="30"/>
      <c r="DC72" s="30"/>
      <c r="DD72" s="30"/>
      <c r="DE72" s="30"/>
      <c r="DF72" s="30"/>
      <c r="DG72" s="30"/>
      <c r="DH72" s="30"/>
      <c r="DI72" s="30"/>
      <c r="DJ72" s="30"/>
      <c r="DK72" s="30"/>
      <c r="DL72" s="30"/>
      <c r="DM72" s="30"/>
      <c r="DN72" s="30"/>
    </row>
    <row r="73" spans="1:57" ht="12.75">
      <c r="A73" s="30"/>
      <c r="B73" s="30"/>
      <c r="H73" s="9"/>
      <c r="I73" s="9"/>
      <c r="J73" s="13"/>
      <c r="K73" s="14"/>
      <c r="L73" s="13"/>
      <c r="BE73" s="18"/>
    </row>
    <row r="74" spans="8:57" ht="12.75">
      <c r="H74" s="9"/>
      <c r="I74" s="9"/>
      <c r="J74" s="13"/>
      <c r="K74" s="14"/>
      <c r="L74" s="13"/>
      <c r="BE74" s="18"/>
    </row>
    <row r="75" spans="8:57" ht="12.75">
      <c r="H75" s="9"/>
      <c r="I75" s="9"/>
      <c r="J75" s="13"/>
      <c r="K75" s="14"/>
      <c r="L75" s="13"/>
      <c r="BE75" s="18"/>
    </row>
    <row r="76" spans="8:57" ht="12.75">
      <c r="H76" s="9"/>
      <c r="I76" s="9"/>
      <c r="J76" s="13"/>
      <c r="K76" s="14"/>
      <c r="L76" s="13"/>
      <c r="BE76" s="18"/>
    </row>
    <row r="77" spans="8:57" ht="12.75">
      <c r="H77" s="9"/>
      <c r="I77" s="9"/>
      <c r="J77" s="13"/>
      <c r="K77" s="14"/>
      <c r="L77" s="13"/>
      <c r="BE77" s="18"/>
    </row>
    <row r="78" spans="7:57" ht="12.75">
      <c r="G78" s="4"/>
      <c r="H78" s="4"/>
      <c r="I78" s="4"/>
      <c r="J78" s="13"/>
      <c r="K78" s="14"/>
      <c r="L78" s="13"/>
      <c r="BE78" s="18"/>
    </row>
    <row r="79" spans="8:57" ht="12.75">
      <c r="H79" s="9"/>
      <c r="I79" s="9"/>
      <c r="J79" s="13"/>
      <c r="K79" s="14"/>
      <c r="L79" s="13"/>
      <c r="BE79" s="18"/>
    </row>
    <row r="80" spans="8:57" ht="12.75">
      <c r="H80" s="9"/>
      <c r="I80" s="9"/>
      <c r="J80" s="13"/>
      <c r="K80" s="14"/>
      <c r="L80" s="13"/>
      <c r="BE80" s="18"/>
    </row>
    <row r="81" spans="8:57" ht="12.75">
      <c r="H81" s="9"/>
      <c r="I81" s="9"/>
      <c r="J81" s="13"/>
      <c r="K81" s="14"/>
      <c r="L81" s="13"/>
      <c r="BE81" s="18"/>
    </row>
    <row r="82" spans="8:57" ht="12.75">
      <c r="H82" s="9"/>
      <c r="I82" s="9"/>
      <c r="J82" s="13"/>
      <c r="K82" s="14"/>
      <c r="L82" s="13"/>
      <c r="BE82" s="18"/>
    </row>
    <row r="83" spans="8:57" ht="12.75">
      <c r="H83" s="9"/>
      <c r="I83" s="9"/>
      <c r="J83" s="13"/>
      <c r="K83" s="14"/>
      <c r="L83" s="13"/>
      <c r="BE83" s="18"/>
    </row>
    <row r="84" spans="8:57" ht="12.75">
      <c r="H84" s="9"/>
      <c r="I84" s="9"/>
      <c r="J84" s="13"/>
      <c r="K84" s="14"/>
      <c r="L84" s="13"/>
      <c r="BE84" s="18"/>
    </row>
    <row r="85" spans="8:57" ht="12.75">
      <c r="H85" s="9"/>
      <c r="I85" s="9"/>
      <c r="J85" s="13"/>
      <c r="K85" s="14"/>
      <c r="L85" s="13"/>
      <c r="BE85" s="18"/>
    </row>
    <row r="86" spans="8:57" ht="12.75">
      <c r="H86" s="9"/>
      <c r="I86" s="9"/>
      <c r="J86" s="13"/>
      <c r="K86" s="14"/>
      <c r="L86" s="13"/>
      <c r="BE86" s="18"/>
    </row>
    <row r="87" ht="12.75">
      <c r="BE87" s="18"/>
    </row>
    <row r="88" ht="12.75">
      <c r="BE88" s="18"/>
    </row>
    <row r="89" ht="12.75">
      <c r="BE89" s="18"/>
    </row>
    <row r="90" ht="12.75">
      <c r="BE90" s="18"/>
    </row>
    <row r="91" ht="12.75">
      <c r="BE91" s="18"/>
    </row>
    <row r="92" ht="12.75">
      <c r="BE92" s="18"/>
    </row>
    <row r="93" ht="12.75">
      <c r="BE93" s="18"/>
    </row>
    <row r="94" ht="12.75">
      <c r="BE94" s="18"/>
    </row>
    <row r="95" ht="12.75">
      <c r="BE95" s="18"/>
    </row>
    <row r="96" ht="12.75">
      <c r="BE96" s="18"/>
    </row>
    <row r="97" ht="12.75">
      <c r="BE97" s="18"/>
    </row>
    <row r="98" ht="12.75">
      <c r="BE98" s="18"/>
    </row>
    <row r="99" ht="12.75">
      <c r="BE99" s="18"/>
    </row>
    <row r="100" ht="12.75">
      <c r="BE100" s="18"/>
    </row>
    <row r="101" ht="12.75">
      <c r="BE101" s="18"/>
    </row>
    <row r="102" ht="12.75">
      <c r="BE102" s="18"/>
    </row>
    <row r="103" ht="12.75">
      <c r="BE103" s="18"/>
    </row>
    <row r="104" ht="12.75">
      <c r="BE104" s="18"/>
    </row>
    <row r="105" ht="12.75">
      <c r="BE105" s="18"/>
    </row>
    <row r="106" ht="12.75">
      <c r="BE106" s="18"/>
    </row>
    <row r="107" ht="12.75">
      <c r="BE107" s="18"/>
    </row>
    <row r="108" ht="12.75">
      <c r="BE108" s="18"/>
    </row>
    <row r="109" ht="12.75">
      <c r="BE109" s="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I57"/>
  <sheetViews>
    <sheetView zoomScalePageLayoutView="0" workbookViewId="0" topLeftCell="A16">
      <selection activeCell="C55" sqref="C55"/>
    </sheetView>
  </sheetViews>
  <sheetFormatPr defaultColWidth="9.140625" defaultRowHeight="12.75"/>
  <cols>
    <col min="2" max="2" width="9.140625" style="63" customWidth="1"/>
    <col min="3" max="3" width="15.00390625" style="36" customWidth="1"/>
    <col min="4" max="4" width="18.00390625" style="0" customWidth="1"/>
    <col min="5" max="6" width="14.57421875" style="4" customWidth="1"/>
    <col min="7" max="7" width="11.140625" style="4" customWidth="1"/>
    <col min="8" max="8" width="14.28125" style="4" customWidth="1"/>
    <col min="11" max="11" width="29.57421875" style="2" customWidth="1"/>
    <col min="12" max="12" width="20.140625" style="0" customWidth="1"/>
  </cols>
  <sheetData>
    <row r="1" spans="1:15" ht="13.5" thickBot="1">
      <c r="A1" s="8"/>
      <c r="B1" s="87"/>
      <c r="C1" s="88" t="s">
        <v>77</v>
      </c>
      <c r="K1" s="2" t="s">
        <v>6</v>
      </c>
      <c r="O1" t="s">
        <v>12</v>
      </c>
    </row>
    <row r="2" spans="1:15" ht="13.5" thickBot="1">
      <c r="A2" s="8"/>
      <c r="B2" s="87"/>
      <c r="C2" s="89"/>
      <c r="E2" s="58" t="s">
        <v>117</v>
      </c>
      <c r="F2" s="59"/>
      <c r="G2" s="59">
        <v>1</v>
      </c>
      <c r="H2" s="60">
        <v>0</v>
      </c>
      <c r="K2" s="2" t="s">
        <v>130</v>
      </c>
      <c r="L2" s="10" t="str">
        <f>IF(O2="Gehuwd","ja",IF(O2="Samenwonend","ja","nee"))</f>
        <v>ja</v>
      </c>
      <c r="O2" t="str">
        <f>input_burgerlijkestaat</f>
        <v>Samenwonend</v>
      </c>
    </row>
    <row r="3" spans="1:8" ht="12.75">
      <c r="A3" s="21" t="s">
        <v>55</v>
      </c>
      <c r="B3" s="87" t="s">
        <v>259</v>
      </c>
      <c r="C3" s="89" t="s">
        <v>101</v>
      </c>
      <c r="D3" t="s">
        <v>200</v>
      </c>
      <c r="E3" s="4" t="s">
        <v>1</v>
      </c>
      <c r="G3" s="61" t="s">
        <v>216</v>
      </c>
      <c r="H3" s="61" t="s">
        <v>98</v>
      </c>
    </row>
    <row r="4" spans="1:12" ht="12.75">
      <c r="A4" s="23">
        <v>15</v>
      </c>
      <c r="B4" s="64">
        <v>52</v>
      </c>
      <c r="C4" s="31">
        <v>0</v>
      </c>
      <c r="D4">
        <f aca="true" t="shared" si="0" ref="D4:D35">input_pensioengrondslag</f>
        <v>22323</v>
      </c>
      <c r="E4" s="4">
        <f>$C4*$D4</f>
        <v>0</v>
      </c>
      <c r="F4" s="4">
        <f>$E4</f>
        <v>0</v>
      </c>
      <c r="G4" s="4">
        <f>E4*$G$2</f>
        <v>0</v>
      </c>
      <c r="H4" s="4">
        <f>E4*$H$2</f>
        <v>0</v>
      </c>
      <c r="K4" s="2" t="s">
        <v>150</v>
      </c>
      <c r="L4" s="3">
        <f>input_geboortedatum</f>
        <v>33201</v>
      </c>
    </row>
    <row r="5" spans="1:12" ht="12.75">
      <c r="A5" s="23">
        <v>16</v>
      </c>
      <c r="B5" s="64">
        <v>51</v>
      </c>
      <c r="C5" s="31">
        <f>C4</f>
        <v>0</v>
      </c>
      <c r="D5">
        <f t="shared" si="0"/>
        <v>22323</v>
      </c>
      <c r="E5" s="4">
        <f aca="true" t="shared" si="1" ref="E5:E56">$C5*$D5</f>
        <v>0</v>
      </c>
      <c r="F5" s="4">
        <f aca="true" t="shared" si="2" ref="F5:F11">$E5</f>
        <v>0</v>
      </c>
      <c r="G5" s="4">
        <f aca="true" t="shared" si="3" ref="G5:G57">E5*$G$2</f>
        <v>0</v>
      </c>
      <c r="H5" s="4">
        <f aca="true" t="shared" si="4" ref="H5:H57">E5*$H$2</f>
        <v>0</v>
      </c>
      <c r="K5" s="2" t="s">
        <v>35</v>
      </c>
      <c r="L5">
        <f>input_pensioenleeftijd</f>
        <v>67</v>
      </c>
    </row>
    <row r="6" spans="1:12" ht="12.75">
      <c r="A6" s="23">
        <v>17</v>
      </c>
      <c r="B6" s="64">
        <v>50</v>
      </c>
      <c r="C6" s="31">
        <f>C5</f>
        <v>0</v>
      </c>
      <c r="D6">
        <f t="shared" si="0"/>
        <v>22323</v>
      </c>
      <c r="E6" s="4">
        <f t="shared" si="1"/>
        <v>0</v>
      </c>
      <c r="F6" s="4">
        <f t="shared" si="2"/>
        <v>0</v>
      </c>
      <c r="G6" s="4">
        <f t="shared" si="3"/>
        <v>0</v>
      </c>
      <c r="H6" s="4">
        <f t="shared" si="4"/>
        <v>0</v>
      </c>
      <c r="K6" s="2" t="s">
        <v>35</v>
      </c>
      <c r="L6" s="3">
        <f>DATE(YEAR(L4)+L5,MONTH(L4),1)</f>
        <v>57650</v>
      </c>
    </row>
    <row r="7" spans="1:12" ht="12.75">
      <c r="A7" s="23">
        <v>18</v>
      </c>
      <c r="B7" s="64">
        <v>49</v>
      </c>
      <c r="C7" s="31">
        <f>C6</f>
        <v>0</v>
      </c>
      <c r="D7">
        <f t="shared" si="0"/>
        <v>22323</v>
      </c>
      <c r="E7" s="4">
        <f t="shared" si="1"/>
        <v>0</v>
      </c>
      <c r="F7" s="4">
        <f t="shared" si="2"/>
        <v>0</v>
      </c>
      <c r="G7" s="4">
        <f t="shared" si="3"/>
        <v>0</v>
      </c>
      <c r="H7" s="4">
        <f t="shared" si="4"/>
        <v>0</v>
      </c>
      <c r="K7" s="2" t="s">
        <v>309</v>
      </c>
      <c r="L7" s="3">
        <f>input_datum_in_dienst</f>
        <v>42736</v>
      </c>
    </row>
    <row r="8" spans="1:8" ht="12.75">
      <c r="A8" s="23">
        <v>19</v>
      </c>
      <c r="B8" s="64">
        <v>48</v>
      </c>
      <c r="C8" s="31">
        <f>C7</f>
        <v>0</v>
      </c>
      <c r="D8">
        <f t="shared" si="0"/>
        <v>22323</v>
      </c>
      <c r="E8" s="4">
        <f t="shared" si="1"/>
        <v>0</v>
      </c>
      <c r="F8" s="4">
        <f t="shared" si="2"/>
        <v>0</v>
      </c>
      <c r="G8" s="4">
        <f t="shared" si="3"/>
        <v>0</v>
      </c>
      <c r="H8" s="4">
        <f t="shared" si="4"/>
        <v>0</v>
      </c>
    </row>
    <row r="9" spans="1:12" ht="13.5" thickBot="1">
      <c r="A9" s="24">
        <v>20</v>
      </c>
      <c r="B9" s="65">
        <v>47</v>
      </c>
      <c r="C9" s="31">
        <f>C8</f>
        <v>0</v>
      </c>
      <c r="D9">
        <f t="shared" si="0"/>
        <v>22323</v>
      </c>
      <c r="E9" s="4">
        <f t="shared" si="1"/>
        <v>0</v>
      </c>
      <c r="F9" s="4">
        <f t="shared" si="2"/>
        <v>0</v>
      </c>
      <c r="G9" s="4">
        <f t="shared" si="3"/>
        <v>0</v>
      </c>
      <c r="H9" s="4">
        <f t="shared" si="4"/>
        <v>0</v>
      </c>
      <c r="K9" s="2" t="s">
        <v>104</v>
      </c>
      <c r="L9" s="47">
        <f>(((YEAR(L6)-YEAR(L7))-1)+(((MONTH(L6)-MONTH(L7))+12)/12))</f>
        <v>40.833333333333336</v>
      </c>
    </row>
    <row r="10" spans="1:12" ht="13.5" thickBot="1">
      <c r="A10" s="92">
        <v>21</v>
      </c>
      <c r="B10" s="64">
        <v>46</v>
      </c>
      <c r="C10" s="93">
        <v>0.068</v>
      </c>
      <c r="D10">
        <f t="shared" si="0"/>
        <v>22323</v>
      </c>
      <c r="E10" s="4">
        <f t="shared" si="1"/>
        <v>1517.9640000000002</v>
      </c>
      <c r="F10" s="4">
        <f t="shared" si="2"/>
        <v>1517.9640000000002</v>
      </c>
      <c r="G10" s="4">
        <f t="shared" si="3"/>
        <v>1517.9640000000002</v>
      </c>
      <c r="H10" s="4">
        <f t="shared" si="4"/>
        <v>0</v>
      </c>
      <c r="K10" s="2" t="s">
        <v>67</v>
      </c>
      <c r="L10" s="46">
        <v>1.16</v>
      </c>
    </row>
    <row r="11" spans="1:12" ht="12.75">
      <c r="A11" s="92">
        <v>22</v>
      </c>
      <c r="B11" s="64">
        <v>45</v>
      </c>
      <c r="C11" s="93">
        <f>C10</f>
        <v>0.068</v>
      </c>
      <c r="D11">
        <f t="shared" si="0"/>
        <v>22323</v>
      </c>
      <c r="E11" s="4">
        <f t="shared" si="1"/>
        <v>1517.9640000000002</v>
      </c>
      <c r="F11" s="4">
        <f t="shared" si="2"/>
        <v>1517.9640000000002</v>
      </c>
      <c r="G11" s="4">
        <f t="shared" si="3"/>
        <v>1517.9640000000002</v>
      </c>
      <c r="H11" s="4">
        <f t="shared" si="4"/>
        <v>0</v>
      </c>
      <c r="K11" s="45" t="s">
        <v>141</v>
      </c>
      <c r="L11">
        <f>L9*L10</f>
        <v>47.36666666666667</v>
      </c>
    </row>
    <row r="12" spans="1:8" ht="12.75">
      <c r="A12" s="92">
        <v>23</v>
      </c>
      <c r="B12" s="64">
        <v>44</v>
      </c>
      <c r="C12" s="93">
        <f>C11</f>
        <v>0.068</v>
      </c>
      <c r="D12">
        <f t="shared" si="0"/>
        <v>22323</v>
      </c>
      <c r="E12" s="4">
        <f t="shared" si="1"/>
        <v>1517.9640000000002</v>
      </c>
      <c r="F12" s="4">
        <f aca="true" t="shared" si="5" ref="F12:F56">E12</f>
        <v>1517.9640000000002</v>
      </c>
      <c r="G12" s="4">
        <f t="shared" si="3"/>
        <v>1517.9640000000002</v>
      </c>
      <c r="H12" s="4">
        <f t="shared" si="4"/>
        <v>0</v>
      </c>
    </row>
    <row r="13" spans="1:12" ht="12.75">
      <c r="A13" s="92">
        <v>24</v>
      </c>
      <c r="B13" s="64">
        <v>43</v>
      </c>
      <c r="C13" s="93">
        <f>C12</f>
        <v>0.068</v>
      </c>
      <c r="D13">
        <f t="shared" si="0"/>
        <v>22323</v>
      </c>
      <c r="E13" s="4">
        <f t="shared" si="1"/>
        <v>1517.9640000000002</v>
      </c>
      <c r="F13" s="4">
        <f t="shared" si="5"/>
        <v>1517.9640000000002</v>
      </c>
      <c r="G13" s="4">
        <f t="shared" si="3"/>
        <v>1517.9640000000002</v>
      </c>
      <c r="H13" s="4">
        <f t="shared" si="4"/>
        <v>0</v>
      </c>
      <c r="K13" s="45" t="s">
        <v>92</v>
      </c>
      <c r="L13">
        <f>input_pensioengevend_salaris/L14*100</f>
        <v>35445</v>
      </c>
    </row>
    <row r="14" spans="1:12" ht="12.75">
      <c r="A14" s="24">
        <v>25</v>
      </c>
      <c r="B14" s="65">
        <v>42</v>
      </c>
      <c r="C14" s="32">
        <v>0.079</v>
      </c>
      <c r="D14">
        <f t="shared" si="0"/>
        <v>22323</v>
      </c>
      <c r="E14" s="4">
        <f t="shared" si="1"/>
        <v>1763.517</v>
      </c>
      <c r="F14" s="4">
        <f t="shared" si="5"/>
        <v>1763.517</v>
      </c>
      <c r="G14" s="4">
        <f t="shared" si="3"/>
        <v>1763.517</v>
      </c>
      <c r="H14" s="4">
        <f t="shared" si="4"/>
        <v>0</v>
      </c>
      <c r="K14" s="45" t="s">
        <v>201</v>
      </c>
      <c r="L14">
        <f>input_parttime_percentage</f>
        <v>100</v>
      </c>
    </row>
    <row r="15" spans="1:11" ht="12.75">
      <c r="A15" s="24">
        <v>26</v>
      </c>
      <c r="B15" s="65">
        <v>41</v>
      </c>
      <c r="C15" s="32">
        <f>C14</f>
        <v>0.079</v>
      </c>
      <c r="D15">
        <f t="shared" si="0"/>
        <v>22323</v>
      </c>
      <c r="E15" s="4">
        <f t="shared" si="1"/>
        <v>1763.517</v>
      </c>
      <c r="F15" s="4">
        <f t="shared" si="5"/>
        <v>1763.517</v>
      </c>
      <c r="G15" s="4">
        <f t="shared" si="3"/>
        <v>1763.517</v>
      </c>
      <c r="H15" s="4">
        <f t="shared" si="4"/>
        <v>0</v>
      </c>
      <c r="K15" s="45"/>
    </row>
    <row r="16" spans="1:12" ht="12.75">
      <c r="A16" s="24">
        <v>27</v>
      </c>
      <c r="B16" s="65">
        <v>40</v>
      </c>
      <c r="C16" s="32">
        <f>C15</f>
        <v>0.079</v>
      </c>
      <c r="D16">
        <f t="shared" si="0"/>
        <v>22323</v>
      </c>
      <c r="E16" s="4">
        <f t="shared" si="1"/>
        <v>1763.517</v>
      </c>
      <c r="F16" s="4">
        <f t="shared" si="5"/>
        <v>1763.517</v>
      </c>
      <c r="G16" s="4">
        <f t="shared" si="3"/>
        <v>1763.517</v>
      </c>
      <c r="H16" s="4">
        <f t="shared" si="4"/>
        <v>0</v>
      </c>
      <c r="K16" s="45" t="s">
        <v>48</v>
      </c>
      <c r="L16">
        <f>input_franchise_np</f>
        <v>13122</v>
      </c>
    </row>
    <row r="17" spans="1:12" ht="12.75">
      <c r="A17" s="24">
        <v>28</v>
      </c>
      <c r="B17" s="65">
        <v>39</v>
      </c>
      <c r="C17" s="32">
        <f>C16</f>
        <v>0.079</v>
      </c>
      <c r="D17">
        <f t="shared" si="0"/>
        <v>22323</v>
      </c>
      <c r="E17" s="4">
        <f t="shared" si="1"/>
        <v>1763.517</v>
      </c>
      <c r="F17" s="4">
        <f t="shared" si="5"/>
        <v>1763.517</v>
      </c>
      <c r="G17" s="4">
        <f t="shared" si="3"/>
        <v>1763.517</v>
      </c>
      <c r="H17" s="4">
        <f t="shared" si="4"/>
        <v>0</v>
      </c>
      <c r="K17" s="45" t="s">
        <v>206</v>
      </c>
      <c r="L17" s="48">
        <f>L13-L16</f>
        <v>22323</v>
      </c>
    </row>
    <row r="18" spans="1:8" ht="13.5" thickBot="1">
      <c r="A18" s="24">
        <v>29</v>
      </c>
      <c r="B18" s="65">
        <v>38</v>
      </c>
      <c r="C18" s="32">
        <f>C17</f>
        <v>0.079</v>
      </c>
      <c r="D18">
        <f t="shared" si="0"/>
        <v>22323</v>
      </c>
      <c r="E18" s="4">
        <f t="shared" si="1"/>
        <v>1763.517</v>
      </c>
      <c r="F18" s="4">
        <f t="shared" si="5"/>
        <v>1763.517</v>
      </c>
      <c r="G18" s="4">
        <f t="shared" si="3"/>
        <v>1763.517</v>
      </c>
      <c r="H18" s="4">
        <f t="shared" si="4"/>
        <v>0</v>
      </c>
    </row>
    <row r="19" spans="1:12" ht="13.5" thickBot="1">
      <c r="A19" s="23">
        <v>30</v>
      </c>
      <c r="B19" s="64">
        <v>37</v>
      </c>
      <c r="C19" s="31">
        <v>0.092</v>
      </c>
      <c r="D19">
        <f t="shared" si="0"/>
        <v>22323</v>
      </c>
      <c r="E19" s="4">
        <f t="shared" si="1"/>
        <v>2053.716</v>
      </c>
      <c r="F19" s="4">
        <f t="shared" si="5"/>
        <v>2053.716</v>
      </c>
      <c r="G19" s="4">
        <f t="shared" si="3"/>
        <v>2053.716</v>
      </c>
      <c r="H19" s="4">
        <f t="shared" si="4"/>
        <v>0</v>
      </c>
      <c r="K19" s="2" t="s">
        <v>191</v>
      </c>
      <c r="L19" s="44">
        <f>L11*L17/100</f>
        <v>10573.661</v>
      </c>
    </row>
    <row r="20" spans="1:13" ht="13.5" thickBot="1">
      <c r="A20" s="23">
        <v>31</v>
      </c>
      <c r="B20" s="64">
        <v>36</v>
      </c>
      <c r="C20" s="31">
        <f>C19</f>
        <v>0.092</v>
      </c>
      <c r="D20">
        <f t="shared" si="0"/>
        <v>22323</v>
      </c>
      <c r="E20" s="4">
        <f t="shared" si="1"/>
        <v>2053.716</v>
      </c>
      <c r="F20" s="4">
        <f t="shared" si="5"/>
        <v>2053.716</v>
      </c>
      <c r="G20" s="4">
        <f t="shared" si="3"/>
        <v>2053.716</v>
      </c>
      <c r="H20" s="4">
        <f t="shared" si="4"/>
        <v>0</v>
      </c>
      <c r="K20" s="45" t="s">
        <v>302</v>
      </c>
      <c r="L20" s="44">
        <f>M20*L19/100</f>
        <v>2114.7322</v>
      </c>
      <c r="M20">
        <v>20</v>
      </c>
    </row>
    <row r="21" spans="1:8" ht="12.75">
      <c r="A21" s="23">
        <v>32</v>
      </c>
      <c r="B21" s="64">
        <v>35</v>
      </c>
      <c r="C21" s="31">
        <f>C20</f>
        <v>0.092</v>
      </c>
      <c r="D21">
        <f t="shared" si="0"/>
        <v>22323</v>
      </c>
      <c r="E21" s="4">
        <f t="shared" si="1"/>
        <v>2053.716</v>
      </c>
      <c r="F21" s="4">
        <f t="shared" si="5"/>
        <v>2053.716</v>
      </c>
      <c r="G21" s="4">
        <f t="shared" si="3"/>
        <v>2053.716</v>
      </c>
      <c r="H21" s="4">
        <f t="shared" si="4"/>
        <v>0</v>
      </c>
    </row>
    <row r="22" spans="1:8" ht="12.75">
      <c r="A22" s="23">
        <v>33</v>
      </c>
      <c r="B22" s="64">
        <v>34</v>
      </c>
      <c r="C22" s="31">
        <f>C21</f>
        <v>0.092</v>
      </c>
      <c r="D22">
        <f t="shared" si="0"/>
        <v>22323</v>
      </c>
      <c r="E22" s="4">
        <f t="shared" si="1"/>
        <v>2053.716</v>
      </c>
      <c r="F22" s="4">
        <f t="shared" si="5"/>
        <v>2053.716</v>
      </c>
      <c r="G22" s="4">
        <f t="shared" si="3"/>
        <v>2053.716</v>
      </c>
      <c r="H22" s="4">
        <f t="shared" si="4"/>
        <v>0</v>
      </c>
    </row>
    <row r="23" spans="1:8" ht="12.75">
      <c r="A23" s="23">
        <v>34</v>
      </c>
      <c r="B23" s="64">
        <v>33</v>
      </c>
      <c r="C23" s="31">
        <f>C22</f>
        <v>0.092</v>
      </c>
      <c r="D23">
        <f t="shared" si="0"/>
        <v>22323</v>
      </c>
      <c r="E23" s="4">
        <f t="shared" si="1"/>
        <v>2053.716</v>
      </c>
      <c r="F23" s="4">
        <f t="shared" si="5"/>
        <v>2053.716</v>
      </c>
      <c r="G23" s="4">
        <f t="shared" si="3"/>
        <v>2053.716</v>
      </c>
      <c r="H23" s="4">
        <f t="shared" si="4"/>
        <v>0</v>
      </c>
    </row>
    <row r="24" spans="1:8" ht="12.75">
      <c r="A24" s="24">
        <v>35</v>
      </c>
      <c r="B24" s="65">
        <v>32</v>
      </c>
      <c r="C24" s="32">
        <v>0.106</v>
      </c>
      <c r="D24">
        <f t="shared" si="0"/>
        <v>22323</v>
      </c>
      <c r="E24" s="4">
        <f t="shared" si="1"/>
        <v>2366.238</v>
      </c>
      <c r="F24" s="4">
        <f t="shared" si="5"/>
        <v>2366.238</v>
      </c>
      <c r="G24" s="4">
        <f t="shared" si="3"/>
        <v>2366.238</v>
      </c>
      <c r="H24" s="4">
        <f t="shared" si="4"/>
        <v>0</v>
      </c>
    </row>
    <row r="25" spans="1:8" ht="12.75">
      <c r="A25" s="24">
        <v>36</v>
      </c>
      <c r="B25" s="65">
        <v>31</v>
      </c>
      <c r="C25" s="32">
        <f>C24</f>
        <v>0.106</v>
      </c>
      <c r="D25">
        <f t="shared" si="0"/>
        <v>22323</v>
      </c>
      <c r="E25" s="4">
        <f t="shared" si="1"/>
        <v>2366.238</v>
      </c>
      <c r="F25" s="4">
        <f t="shared" si="5"/>
        <v>2366.238</v>
      </c>
      <c r="G25" s="4">
        <f t="shared" si="3"/>
        <v>2366.238</v>
      </c>
      <c r="H25" s="4">
        <f t="shared" si="4"/>
        <v>0</v>
      </c>
    </row>
    <row r="26" spans="1:26" ht="12.75">
      <c r="A26" s="24">
        <v>37</v>
      </c>
      <c r="B26" s="65">
        <v>30</v>
      </c>
      <c r="C26" s="32">
        <f>C25</f>
        <v>0.106</v>
      </c>
      <c r="D26">
        <f t="shared" si="0"/>
        <v>22323</v>
      </c>
      <c r="E26" s="4">
        <f t="shared" si="1"/>
        <v>2366.238</v>
      </c>
      <c r="F26" s="4">
        <f t="shared" si="5"/>
        <v>2366.238</v>
      </c>
      <c r="G26" s="4">
        <f t="shared" si="3"/>
        <v>2366.238</v>
      </c>
      <c r="H26" s="4">
        <f t="shared" si="4"/>
        <v>0</v>
      </c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8" ht="12.75">
      <c r="A27" s="24">
        <v>38</v>
      </c>
      <c r="B27" s="65">
        <v>29</v>
      </c>
      <c r="C27" s="32">
        <f>C26</f>
        <v>0.106</v>
      </c>
      <c r="D27">
        <f t="shared" si="0"/>
        <v>22323</v>
      </c>
      <c r="E27" s="4">
        <f t="shared" si="1"/>
        <v>2366.238</v>
      </c>
      <c r="F27" s="4">
        <f t="shared" si="5"/>
        <v>2366.238</v>
      </c>
      <c r="G27" s="4">
        <f t="shared" si="3"/>
        <v>2366.238</v>
      </c>
      <c r="H27" s="4">
        <f t="shared" si="4"/>
        <v>0</v>
      </c>
    </row>
    <row r="28" spans="1:24" ht="12.75">
      <c r="A28" s="24">
        <v>39</v>
      </c>
      <c r="B28" s="65">
        <v>28</v>
      </c>
      <c r="C28" s="32">
        <f>C27</f>
        <v>0.106</v>
      </c>
      <c r="D28">
        <f t="shared" si="0"/>
        <v>22323</v>
      </c>
      <c r="E28" s="4">
        <f t="shared" si="1"/>
        <v>2366.238</v>
      </c>
      <c r="F28" s="4">
        <f t="shared" si="5"/>
        <v>2366.238</v>
      </c>
      <c r="G28" s="4">
        <f t="shared" si="3"/>
        <v>2366.238</v>
      </c>
      <c r="H28" s="4">
        <f t="shared" si="4"/>
        <v>0</v>
      </c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</row>
    <row r="29" spans="1:8" ht="12.75">
      <c r="A29" s="24">
        <v>40</v>
      </c>
      <c r="B29" s="65">
        <v>27</v>
      </c>
      <c r="C29" s="32">
        <v>0.124</v>
      </c>
      <c r="D29">
        <f t="shared" si="0"/>
        <v>22323</v>
      </c>
      <c r="E29" s="4">
        <f t="shared" si="1"/>
        <v>2768.052</v>
      </c>
      <c r="F29" s="4">
        <f t="shared" si="5"/>
        <v>2768.052</v>
      </c>
      <c r="G29" s="4">
        <f t="shared" si="3"/>
        <v>2768.052</v>
      </c>
      <c r="H29" s="4">
        <f t="shared" si="4"/>
        <v>0</v>
      </c>
    </row>
    <row r="30" spans="1:8" ht="12.75">
      <c r="A30" s="24">
        <v>41</v>
      </c>
      <c r="B30" s="65">
        <v>26</v>
      </c>
      <c r="C30" s="32">
        <f>C29</f>
        <v>0.124</v>
      </c>
      <c r="D30">
        <f t="shared" si="0"/>
        <v>22323</v>
      </c>
      <c r="E30" s="4">
        <f t="shared" si="1"/>
        <v>2768.052</v>
      </c>
      <c r="F30" s="4">
        <f t="shared" si="5"/>
        <v>2768.052</v>
      </c>
      <c r="G30" s="4">
        <f t="shared" si="3"/>
        <v>2768.052</v>
      </c>
      <c r="H30" s="4">
        <f t="shared" si="4"/>
        <v>0</v>
      </c>
    </row>
    <row r="31" spans="1:29" ht="12.75">
      <c r="A31" s="24">
        <v>42</v>
      </c>
      <c r="B31" s="65">
        <v>25</v>
      </c>
      <c r="C31" s="32">
        <f>C30</f>
        <v>0.124</v>
      </c>
      <c r="D31">
        <f t="shared" si="0"/>
        <v>22323</v>
      </c>
      <c r="E31" s="4">
        <f t="shared" si="1"/>
        <v>2768.052</v>
      </c>
      <c r="F31" s="4">
        <f t="shared" si="5"/>
        <v>2768.052</v>
      </c>
      <c r="G31" s="4">
        <f t="shared" si="3"/>
        <v>2768.052</v>
      </c>
      <c r="H31" s="4">
        <f t="shared" si="4"/>
        <v>0</v>
      </c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</row>
    <row r="32" spans="1:8" ht="12.75">
      <c r="A32" s="24">
        <v>43</v>
      </c>
      <c r="B32" s="65">
        <v>24</v>
      </c>
      <c r="C32" s="32">
        <f>C31</f>
        <v>0.124</v>
      </c>
      <c r="D32">
        <f t="shared" si="0"/>
        <v>22323</v>
      </c>
      <c r="E32" s="4">
        <f t="shared" si="1"/>
        <v>2768.052</v>
      </c>
      <c r="F32" s="4">
        <f t="shared" si="5"/>
        <v>2768.052</v>
      </c>
      <c r="G32" s="4">
        <f t="shared" si="3"/>
        <v>2768.052</v>
      </c>
      <c r="H32" s="4">
        <f t="shared" si="4"/>
        <v>0</v>
      </c>
    </row>
    <row r="33" spans="1:21" ht="12.75">
      <c r="A33" s="24">
        <v>44</v>
      </c>
      <c r="B33" s="65">
        <v>23</v>
      </c>
      <c r="C33" s="32">
        <f>C32</f>
        <v>0.124</v>
      </c>
      <c r="D33">
        <f t="shared" si="0"/>
        <v>22323</v>
      </c>
      <c r="E33" s="4">
        <f t="shared" si="1"/>
        <v>2768.052</v>
      </c>
      <c r="F33" s="4">
        <f t="shared" si="5"/>
        <v>2768.052</v>
      </c>
      <c r="G33" s="4">
        <f t="shared" si="3"/>
        <v>2768.052</v>
      </c>
      <c r="H33" s="4">
        <f t="shared" si="4"/>
        <v>0</v>
      </c>
      <c r="L33" s="4"/>
      <c r="M33" s="4"/>
      <c r="N33" s="4"/>
      <c r="O33" s="4"/>
      <c r="P33" s="4"/>
      <c r="Q33" s="4"/>
      <c r="R33" s="4"/>
      <c r="S33" s="4"/>
      <c r="T33" s="4"/>
      <c r="U33" s="4"/>
    </row>
    <row r="34" spans="1:8" ht="12.75">
      <c r="A34" s="25">
        <v>45</v>
      </c>
      <c r="B34" s="66">
        <v>22</v>
      </c>
      <c r="C34" s="33">
        <v>0.145</v>
      </c>
      <c r="D34">
        <f t="shared" si="0"/>
        <v>22323</v>
      </c>
      <c r="E34" s="4">
        <f t="shared" si="1"/>
        <v>3236.8349999999996</v>
      </c>
      <c r="F34" s="4">
        <f t="shared" si="5"/>
        <v>3236.8349999999996</v>
      </c>
      <c r="G34" s="4">
        <f t="shared" si="3"/>
        <v>3236.8349999999996</v>
      </c>
      <c r="H34" s="4">
        <f t="shared" si="4"/>
        <v>0</v>
      </c>
    </row>
    <row r="35" spans="1:19" ht="12.75">
      <c r="A35" s="25">
        <v>46</v>
      </c>
      <c r="B35" s="66">
        <v>21</v>
      </c>
      <c r="C35" s="33">
        <f>C34</f>
        <v>0.145</v>
      </c>
      <c r="D35">
        <f t="shared" si="0"/>
        <v>22323</v>
      </c>
      <c r="E35" s="4">
        <f t="shared" si="1"/>
        <v>3236.8349999999996</v>
      </c>
      <c r="F35" s="4">
        <f t="shared" si="5"/>
        <v>3236.8349999999996</v>
      </c>
      <c r="G35" s="4">
        <f t="shared" si="3"/>
        <v>3236.8349999999996</v>
      </c>
      <c r="H35" s="4">
        <f t="shared" si="4"/>
        <v>0</v>
      </c>
      <c r="L35" s="4"/>
      <c r="M35" s="4"/>
      <c r="N35" s="4"/>
      <c r="O35" s="4"/>
      <c r="P35" s="4"/>
      <c r="Q35" s="4"/>
      <c r="R35" s="4"/>
      <c r="S35" s="4"/>
    </row>
    <row r="36" spans="1:8" ht="12.75">
      <c r="A36" s="25">
        <v>47</v>
      </c>
      <c r="B36" s="66">
        <v>20</v>
      </c>
      <c r="C36" s="33">
        <f>C35</f>
        <v>0.145</v>
      </c>
      <c r="D36">
        <f aca="true" t="shared" si="6" ref="D36:D56">input_pensioengrondslag</f>
        <v>22323</v>
      </c>
      <c r="E36" s="4">
        <f t="shared" si="1"/>
        <v>3236.8349999999996</v>
      </c>
      <c r="F36" s="4">
        <f t="shared" si="5"/>
        <v>3236.8349999999996</v>
      </c>
      <c r="G36" s="4">
        <f t="shared" si="3"/>
        <v>3236.8349999999996</v>
      </c>
      <c r="H36" s="4">
        <f t="shared" si="4"/>
        <v>0</v>
      </c>
    </row>
    <row r="37" spans="1:8" ht="12.75">
      <c r="A37" s="25">
        <v>48</v>
      </c>
      <c r="B37" s="66">
        <v>19</v>
      </c>
      <c r="C37" s="33">
        <f>C36</f>
        <v>0.145</v>
      </c>
      <c r="D37">
        <f t="shared" si="6"/>
        <v>22323</v>
      </c>
      <c r="E37" s="4">
        <f t="shared" si="1"/>
        <v>3236.8349999999996</v>
      </c>
      <c r="F37" s="4">
        <f t="shared" si="5"/>
        <v>3236.8349999999996</v>
      </c>
      <c r="G37" s="4">
        <f t="shared" si="3"/>
        <v>3236.8349999999996</v>
      </c>
      <c r="H37" s="4">
        <f t="shared" si="4"/>
        <v>0</v>
      </c>
    </row>
    <row r="38" spans="1:12" ht="13.5" thickBot="1">
      <c r="A38" s="25">
        <v>49</v>
      </c>
      <c r="B38" s="66">
        <v>18</v>
      </c>
      <c r="C38" s="33">
        <f>C37</f>
        <v>0.145</v>
      </c>
      <c r="D38">
        <f t="shared" si="6"/>
        <v>22323</v>
      </c>
      <c r="E38" s="4">
        <f t="shared" si="1"/>
        <v>3236.8349999999996</v>
      </c>
      <c r="F38" s="4">
        <f t="shared" si="5"/>
        <v>3236.8349999999996</v>
      </c>
      <c r="G38" s="4">
        <f t="shared" si="3"/>
        <v>3236.8349999999996</v>
      </c>
      <c r="H38" s="4">
        <f t="shared" si="4"/>
        <v>0</v>
      </c>
      <c r="L38" s="153" t="s">
        <v>334</v>
      </c>
    </row>
    <row r="39" spans="1:61" ht="13.5" thickBot="1">
      <c r="A39" s="22">
        <v>50</v>
      </c>
      <c r="B39" s="67">
        <v>17</v>
      </c>
      <c r="C39" s="34">
        <v>0.168</v>
      </c>
      <c r="D39">
        <f t="shared" si="6"/>
        <v>22323</v>
      </c>
      <c r="E39" s="4">
        <f t="shared" si="1"/>
        <v>3750.264</v>
      </c>
      <c r="F39" s="4">
        <f t="shared" si="5"/>
        <v>3750.264</v>
      </c>
      <c r="G39" s="4">
        <f t="shared" si="3"/>
        <v>3750.264</v>
      </c>
      <c r="H39" s="4">
        <f t="shared" si="4"/>
        <v>0</v>
      </c>
      <c r="L39" s="96">
        <f>$C7*$D7</f>
        <v>0</v>
      </c>
      <c r="M39" s="96">
        <f>$C8*$D8</f>
        <v>0</v>
      </c>
      <c r="N39" s="96">
        <f>$C9*$D9</f>
        <v>0</v>
      </c>
      <c r="O39" s="96">
        <f>$C10*$D10</f>
        <v>1517.9640000000002</v>
      </c>
      <c r="P39" s="96">
        <f>$C11*$D11</f>
        <v>1517.9640000000002</v>
      </c>
      <c r="Q39" s="96">
        <f>$C12*$D12</f>
        <v>1517.9640000000002</v>
      </c>
      <c r="R39" s="96">
        <f>$C13*$D13</f>
        <v>1517.9640000000002</v>
      </c>
      <c r="S39" s="96">
        <f>$C14*$D14</f>
        <v>1763.517</v>
      </c>
      <c r="T39" s="96">
        <f>$C15*$D15</f>
        <v>1763.517</v>
      </c>
      <c r="U39" s="96">
        <f>$C16*$D16</f>
        <v>1763.517</v>
      </c>
      <c r="V39" s="96">
        <f>$C17*$D17</f>
        <v>1763.517</v>
      </c>
      <c r="W39" s="96">
        <f>$C18*$D18</f>
        <v>1763.517</v>
      </c>
      <c r="X39" s="96">
        <f>$C19*$D19</f>
        <v>2053.716</v>
      </c>
      <c r="Y39" s="96">
        <f>$C20*$D20</f>
        <v>2053.716</v>
      </c>
      <c r="Z39" s="96">
        <f>$C21*$D21</f>
        <v>2053.716</v>
      </c>
      <c r="AA39" s="96">
        <f>$C22*$D22</f>
        <v>2053.716</v>
      </c>
      <c r="AB39" s="96">
        <f>$C23*$D23</f>
        <v>2053.716</v>
      </c>
      <c r="AC39" s="96">
        <f>$C24*$D24</f>
        <v>2366.238</v>
      </c>
      <c r="AD39" s="96">
        <f>$C25*$D25</f>
        <v>2366.238</v>
      </c>
      <c r="AE39" s="96">
        <f>$C26*$D26</f>
        <v>2366.238</v>
      </c>
      <c r="AF39" s="96">
        <f>$C27*$D27</f>
        <v>2366.238</v>
      </c>
      <c r="AG39" s="96">
        <f>$C28*$D28</f>
        <v>2366.238</v>
      </c>
      <c r="AH39" s="96">
        <f>$C29*$D29</f>
        <v>2768.052</v>
      </c>
      <c r="AI39" s="96">
        <f>$C30*$D30</f>
        <v>2768.052</v>
      </c>
      <c r="AJ39" s="96">
        <f>$C31*$D31</f>
        <v>2768.052</v>
      </c>
      <c r="AK39" s="96">
        <f>$C32*$D32</f>
        <v>2768.052</v>
      </c>
      <c r="AL39" s="96">
        <f>$C33*$D33</f>
        <v>2768.052</v>
      </c>
      <c r="AM39" s="96">
        <f>$C34*$D34</f>
        <v>3236.8349999999996</v>
      </c>
      <c r="AN39" s="96">
        <f>$C35*$D35</f>
        <v>3236.8349999999996</v>
      </c>
      <c r="AO39" s="96">
        <f>$C36*$D36</f>
        <v>3236.8349999999996</v>
      </c>
      <c r="AP39" s="96">
        <f>$C37*$D37</f>
        <v>3236.8349999999996</v>
      </c>
      <c r="AQ39" s="96">
        <f>$C38*$D38</f>
        <v>3236.8349999999996</v>
      </c>
      <c r="AR39" s="96">
        <f>$C39*$D39</f>
        <v>3750.264</v>
      </c>
      <c r="AS39" s="96">
        <f>$C40*$D40</f>
        <v>3750.264</v>
      </c>
      <c r="AT39" s="96">
        <f>$C41*$D41</f>
        <v>3750.264</v>
      </c>
      <c r="AU39" s="96">
        <f>$C42*$D42</f>
        <v>3750.264</v>
      </c>
      <c r="AV39" s="96">
        <f>$C43*$D43</f>
        <v>3750.264</v>
      </c>
      <c r="AW39" s="96">
        <f>$C44*$D44</f>
        <v>4419.954000000001</v>
      </c>
      <c r="AX39" s="96">
        <f>$C45*$D45</f>
        <v>4419.954000000001</v>
      </c>
      <c r="AY39" s="96">
        <f>$C46*$D46</f>
        <v>4419.954000000001</v>
      </c>
      <c r="AZ39" s="96">
        <f>$C47*$D47</f>
        <v>4419.954000000001</v>
      </c>
      <c r="BA39" s="96">
        <f>$C48*$D48</f>
        <v>4419.954000000001</v>
      </c>
      <c r="BB39" s="96">
        <f>$C49*$D49</f>
        <v>5245.905</v>
      </c>
      <c r="BC39" s="96">
        <f>$C50*$D50</f>
        <v>5245.905</v>
      </c>
      <c r="BD39" s="96">
        <f>$C51*$D51</f>
        <v>5245.905</v>
      </c>
      <c r="BE39" s="96">
        <f>$C52*$D52</f>
        <v>5245.905</v>
      </c>
      <c r="BF39" s="96">
        <f>$C53*$D53</f>
        <v>5245.905</v>
      </c>
      <c r="BG39" s="96">
        <f>$C54*$D54</f>
        <v>8036.28</v>
      </c>
      <c r="BH39" s="97">
        <f>$C55*$D55</f>
        <v>8036.28</v>
      </c>
      <c r="BI39" s="97">
        <f>$C55*$D55</f>
        <v>8036.28</v>
      </c>
    </row>
    <row r="40" spans="1:8" ht="12.75">
      <c r="A40" s="22">
        <v>51</v>
      </c>
      <c r="B40" s="67">
        <v>16</v>
      </c>
      <c r="C40" s="34">
        <f>C39</f>
        <v>0.168</v>
      </c>
      <c r="D40">
        <f t="shared" si="6"/>
        <v>22323</v>
      </c>
      <c r="E40" s="4">
        <f t="shared" si="1"/>
        <v>3750.264</v>
      </c>
      <c r="F40" s="4">
        <f t="shared" si="5"/>
        <v>3750.264</v>
      </c>
      <c r="G40" s="4">
        <f t="shared" si="3"/>
        <v>3750.264</v>
      </c>
      <c r="H40" s="4">
        <f t="shared" si="4"/>
        <v>0</v>
      </c>
    </row>
    <row r="41" spans="1:8" ht="12.75">
      <c r="A41" s="22">
        <v>52</v>
      </c>
      <c r="B41" s="67">
        <v>15</v>
      </c>
      <c r="C41" s="34">
        <f>C40</f>
        <v>0.168</v>
      </c>
      <c r="D41">
        <f t="shared" si="6"/>
        <v>22323</v>
      </c>
      <c r="E41" s="4">
        <f t="shared" si="1"/>
        <v>3750.264</v>
      </c>
      <c r="F41" s="4">
        <f t="shared" si="5"/>
        <v>3750.264</v>
      </c>
      <c r="G41" s="4">
        <f t="shared" si="3"/>
        <v>3750.264</v>
      </c>
      <c r="H41" s="4">
        <f t="shared" si="4"/>
        <v>0</v>
      </c>
    </row>
    <row r="42" spans="1:8" ht="12.75">
      <c r="A42" s="22">
        <v>53</v>
      </c>
      <c r="B42" s="67">
        <v>14</v>
      </c>
      <c r="C42" s="34">
        <f>C41</f>
        <v>0.168</v>
      </c>
      <c r="D42">
        <f t="shared" si="6"/>
        <v>22323</v>
      </c>
      <c r="E42" s="4">
        <f t="shared" si="1"/>
        <v>3750.264</v>
      </c>
      <c r="F42" s="4">
        <f t="shared" si="5"/>
        <v>3750.264</v>
      </c>
      <c r="G42" s="4">
        <f t="shared" si="3"/>
        <v>3750.264</v>
      </c>
      <c r="H42" s="4">
        <f t="shared" si="4"/>
        <v>0</v>
      </c>
    </row>
    <row r="43" spans="1:8" ht="12.75">
      <c r="A43" s="22">
        <v>54</v>
      </c>
      <c r="B43" s="67">
        <v>13</v>
      </c>
      <c r="C43" s="34">
        <f>C42</f>
        <v>0.168</v>
      </c>
      <c r="D43">
        <f t="shared" si="6"/>
        <v>22323</v>
      </c>
      <c r="E43" s="4">
        <f t="shared" si="1"/>
        <v>3750.264</v>
      </c>
      <c r="F43" s="4">
        <f t="shared" si="5"/>
        <v>3750.264</v>
      </c>
      <c r="G43" s="4">
        <f t="shared" si="3"/>
        <v>3750.264</v>
      </c>
      <c r="H43" s="4">
        <f t="shared" si="4"/>
        <v>0</v>
      </c>
    </row>
    <row r="44" spans="1:8" ht="12.75">
      <c r="A44" s="25">
        <v>55</v>
      </c>
      <c r="B44" s="66">
        <v>12</v>
      </c>
      <c r="C44" s="33">
        <v>0.198</v>
      </c>
      <c r="D44">
        <f t="shared" si="6"/>
        <v>22323</v>
      </c>
      <c r="E44" s="4">
        <f t="shared" si="1"/>
        <v>4419.954000000001</v>
      </c>
      <c r="F44" s="4">
        <f t="shared" si="5"/>
        <v>4419.954000000001</v>
      </c>
      <c r="G44" s="4">
        <f t="shared" si="3"/>
        <v>4419.954000000001</v>
      </c>
      <c r="H44" s="4">
        <f t="shared" si="4"/>
        <v>0</v>
      </c>
    </row>
    <row r="45" spans="1:8" ht="12.75">
      <c r="A45" s="25">
        <v>56</v>
      </c>
      <c r="B45" s="66">
        <v>11</v>
      </c>
      <c r="C45" s="33">
        <f>C44</f>
        <v>0.198</v>
      </c>
      <c r="D45">
        <f t="shared" si="6"/>
        <v>22323</v>
      </c>
      <c r="E45" s="4">
        <f t="shared" si="1"/>
        <v>4419.954000000001</v>
      </c>
      <c r="F45" s="4">
        <f t="shared" si="5"/>
        <v>4419.954000000001</v>
      </c>
      <c r="G45" s="4">
        <f t="shared" si="3"/>
        <v>4419.954000000001</v>
      </c>
      <c r="H45" s="4">
        <f t="shared" si="4"/>
        <v>0</v>
      </c>
    </row>
    <row r="46" spans="1:8" ht="12.75">
      <c r="A46" s="25">
        <v>57</v>
      </c>
      <c r="B46" s="66">
        <v>10</v>
      </c>
      <c r="C46" s="33">
        <f>C45</f>
        <v>0.198</v>
      </c>
      <c r="D46">
        <f t="shared" si="6"/>
        <v>22323</v>
      </c>
      <c r="E46" s="4">
        <f t="shared" si="1"/>
        <v>4419.954000000001</v>
      </c>
      <c r="F46" s="4">
        <f t="shared" si="5"/>
        <v>4419.954000000001</v>
      </c>
      <c r="G46" s="4">
        <f t="shared" si="3"/>
        <v>4419.954000000001</v>
      </c>
      <c r="H46" s="4">
        <f t="shared" si="4"/>
        <v>0</v>
      </c>
    </row>
    <row r="47" spans="1:8" ht="12.75">
      <c r="A47" s="25">
        <v>58</v>
      </c>
      <c r="B47" s="66">
        <v>9</v>
      </c>
      <c r="C47" s="33">
        <f>C46</f>
        <v>0.198</v>
      </c>
      <c r="D47">
        <f t="shared" si="6"/>
        <v>22323</v>
      </c>
      <c r="E47" s="4">
        <f t="shared" si="1"/>
        <v>4419.954000000001</v>
      </c>
      <c r="F47" s="4">
        <f t="shared" si="5"/>
        <v>4419.954000000001</v>
      </c>
      <c r="G47" s="4">
        <f t="shared" si="3"/>
        <v>4419.954000000001</v>
      </c>
      <c r="H47" s="4">
        <f t="shared" si="4"/>
        <v>0</v>
      </c>
    </row>
    <row r="48" spans="1:8" ht="12.75">
      <c r="A48" s="25">
        <v>59</v>
      </c>
      <c r="B48" s="66">
        <v>8</v>
      </c>
      <c r="C48" s="33">
        <f>C47</f>
        <v>0.198</v>
      </c>
      <c r="D48">
        <f t="shared" si="6"/>
        <v>22323</v>
      </c>
      <c r="E48" s="4">
        <f t="shared" si="1"/>
        <v>4419.954000000001</v>
      </c>
      <c r="F48" s="4">
        <f t="shared" si="5"/>
        <v>4419.954000000001</v>
      </c>
      <c r="G48" s="4">
        <f t="shared" si="3"/>
        <v>4419.954000000001</v>
      </c>
      <c r="H48" s="4">
        <f t="shared" si="4"/>
        <v>0</v>
      </c>
    </row>
    <row r="49" spans="1:8" ht="12.75">
      <c r="A49" s="22">
        <v>60</v>
      </c>
      <c r="B49" s="67">
        <v>7</v>
      </c>
      <c r="C49" s="34">
        <v>0.235</v>
      </c>
      <c r="D49">
        <f t="shared" si="6"/>
        <v>22323</v>
      </c>
      <c r="E49" s="4">
        <f t="shared" si="1"/>
        <v>5245.905</v>
      </c>
      <c r="F49" s="4">
        <f t="shared" si="5"/>
        <v>5245.905</v>
      </c>
      <c r="G49" s="4">
        <f t="shared" si="3"/>
        <v>5245.905</v>
      </c>
      <c r="H49" s="4">
        <f t="shared" si="4"/>
        <v>0</v>
      </c>
    </row>
    <row r="50" spans="1:8" ht="12.75">
      <c r="A50" s="22">
        <v>61</v>
      </c>
      <c r="B50" s="67">
        <v>6</v>
      </c>
      <c r="C50" s="34">
        <f>C49</f>
        <v>0.235</v>
      </c>
      <c r="D50">
        <f t="shared" si="6"/>
        <v>22323</v>
      </c>
      <c r="E50" s="4">
        <f t="shared" si="1"/>
        <v>5245.905</v>
      </c>
      <c r="F50" s="4">
        <f t="shared" si="5"/>
        <v>5245.905</v>
      </c>
      <c r="G50" s="4">
        <f t="shared" si="3"/>
        <v>5245.905</v>
      </c>
      <c r="H50" s="4">
        <f t="shared" si="4"/>
        <v>0</v>
      </c>
    </row>
    <row r="51" spans="1:8" ht="12.75">
      <c r="A51" s="22">
        <v>62</v>
      </c>
      <c r="B51" s="67">
        <v>5</v>
      </c>
      <c r="C51" s="34">
        <f>C50</f>
        <v>0.235</v>
      </c>
      <c r="D51">
        <f t="shared" si="6"/>
        <v>22323</v>
      </c>
      <c r="E51" s="4">
        <f t="shared" si="1"/>
        <v>5245.905</v>
      </c>
      <c r="F51" s="4">
        <f t="shared" si="5"/>
        <v>5245.905</v>
      </c>
      <c r="G51" s="4">
        <f t="shared" si="3"/>
        <v>5245.905</v>
      </c>
      <c r="H51" s="4">
        <f t="shared" si="4"/>
        <v>0</v>
      </c>
    </row>
    <row r="52" spans="1:8" ht="12.75">
      <c r="A52" s="22">
        <v>63</v>
      </c>
      <c r="B52" s="67">
        <v>4</v>
      </c>
      <c r="C52" s="34">
        <f>C51</f>
        <v>0.235</v>
      </c>
      <c r="D52">
        <f t="shared" si="6"/>
        <v>22323</v>
      </c>
      <c r="E52" s="4">
        <f t="shared" si="1"/>
        <v>5245.905</v>
      </c>
      <c r="F52" s="4">
        <f t="shared" si="5"/>
        <v>5245.905</v>
      </c>
      <c r="G52" s="4">
        <f t="shared" si="3"/>
        <v>5245.905</v>
      </c>
      <c r="H52" s="4">
        <f t="shared" si="4"/>
        <v>0</v>
      </c>
    </row>
    <row r="53" spans="1:8" ht="12.75">
      <c r="A53" s="22">
        <v>64</v>
      </c>
      <c r="B53" s="67">
        <v>3</v>
      </c>
      <c r="C53" s="34">
        <f>C52</f>
        <v>0.235</v>
      </c>
      <c r="D53">
        <f t="shared" si="6"/>
        <v>22323</v>
      </c>
      <c r="E53" s="4">
        <f t="shared" si="1"/>
        <v>5245.905</v>
      </c>
      <c r="F53" s="4">
        <f t="shared" si="5"/>
        <v>5245.905</v>
      </c>
      <c r="G53" s="4">
        <f t="shared" si="3"/>
        <v>5245.905</v>
      </c>
      <c r="H53" s="4">
        <f t="shared" si="4"/>
        <v>0</v>
      </c>
    </row>
    <row r="54" spans="1:8" ht="12.75">
      <c r="A54" s="26">
        <v>65</v>
      </c>
      <c r="B54" s="64">
        <v>2</v>
      </c>
      <c r="C54" s="35">
        <f>Berekening!C46</f>
        <v>0.36</v>
      </c>
      <c r="D54">
        <f t="shared" si="6"/>
        <v>22323</v>
      </c>
      <c r="E54" s="4">
        <f t="shared" si="1"/>
        <v>8036.28</v>
      </c>
      <c r="F54" s="4">
        <f t="shared" si="5"/>
        <v>8036.28</v>
      </c>
      <c r="G54" s="4">
        <f t="shared" si="3"/>
        <v>8036.28</v>
      </c>
      <c r="H54" s="4">
        <f t="shared" si="4"/>
        <v>0</v>
      </c>
    </row>
    <row r="55" spans="1:8" ht="12.75">
      <c r="A55" s="26">
        <v>66</v>
      </c>
      <c r="B55" s="64">
        <v>1</v>
      </c>
      <c r="C55" s="35">
        <f>C54</f>
        <v>0.36</v>
      </c>
      <c r="D55">
        <f t="shared" si="6"/>
        <v>22323</v>
      </c>
      <c r="E55" s="4">
        <f t="shared" si="1"/>
        <v>8036.28</v>
      </c>
      <c r="F55" s="4">
        <f t="shared" si="5"/>
        <v>8036.28</v>
      </c>
      <c r="G55" s="4">
        <f t="shared" si="3"/>
        <v>8036.28</v>
      </c>
      <c r="H55" s="4">
        <f t="shared" si="4"/>
        <v>0</v>
      </c>
    </row>
    <row r="56" spans="1:7" ht="12.75">
      <c r="A56" s="21">
        <v>67</v>
      </c>
      <c r="C56" s="35">
        <f>C55</f>
        <v>0.36</v>
      </c>
      <c r="D56">
        <f t="shared" si="6"/>
        <v>22323</v>
      </c>
      <c r="E56" s="4">
        <f t="shared" si="1"/>
        <v>8036.28</v>
      </c>
      <c r="F56" s="4">
        <f t="shared" si="5"/>
        <v>8036.28</v>
      </c>
      <c r="G56" s="4">
        <f t="shared" si="3"/>
        <v>8036.28</v>
      </c>
    </row>
    <row r="57" spans="5:8" ht="12.75">
      <c r="E57" s="4">
        <f>SUM(E4:E56)</f>
        <v>158203.101</v>
      </c>
      <c r="G57" s="4">
        <f t="shared" si="3"/>
        <v>158203.101</v>
      </c>
      <c r="H57" s="4">
        <f t="shared" si="4"/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Kras</dc:creator>
  <cp:keywords/>
  <dc:description/>
  <cp:lastModifiedBy>GJ van Dalen</cp:lastModifiedBy>
  <dcterms:created xsi:type="dcterms:W3CDTF">2012-02-21T14:55:27Z</dcterms:created>
  <dcterms:modified xsi:type="dcterms:W3CDTF">2020-05-26T09:49:55Z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