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d734e827a46e4a1/"/>
    </mc:Choice>
  </mc:AlternateContent>
  <xr:revisionPtr revIDLastSave="3" documentId="8_{D9BD0FC3-3260-4CE7-8E8E-0E34CE4E2A8D}" xr6:coauthVersionLast="40" xr6:coauthVersionMax="40" xr10:uidLastSave="{437F567C-388A-4662-8879-651FB8FC26D6}"/>
  <bookViews>
    <workbookView xWindow="240" yWindow="120" windowWidth="14940" windowHeight="9225" activeTab="1" xr2:uid="{00000000-000D-0000-FFFF-FFFF00000000}"/>
  </bookViews>
  <sheets>
    <sheet name="OUTPUT" sheetId="1" r:id="rId1"/>
    <sheet name="INPUT" sheetId="2" r:id="rId2"/>
    <sheet name="Nabestaandenpensioen" sheetId="3" r:id="rId3"/>
    <sheet name="Wezenpensioen" sheetId="4" r:id="rId4"/>
    <sheet name="Tabellen" sheetId="5" r:id="rId5"/>
  </sheets>
  <externalReferences>
    <externalReference r:id="rId6"/>
    <externalReference r:id="rId7"/>
    <externalReference r:id="rId8"/>
  </externalReferences>
  <definedNames>
    <definedName name="_xlnm.Print_Area" localSheetId="2">Nabestaandenpensioen!$A$2:$AC$22</definedName>
    <definedName name="_xlnm.Print_Area" localSheetId="4">Tabellen!$A$1:$N$55</definedName>
    <definedName name="_xlnm.Print_Titles" localSheetId="2">Nabestaandenpensioen!$13:$17</definedName>
    <definedName name="betalingstermijn">Tabellen!$AC$12:$AD$15</definedName>
    <definedName name="Cluster">Tabellen!$AC$4:$AD$8</definedName>
    <definedName name="CWANW">Tabellen!$J$6:$K$58</definedName>
    <definedName name="cwnp21">Tabellen!$B$6:$C$66</definedName>
    <definedName name="cwnp27">Tabellen!$E$6:$F$66</definedName>
    <definedName name="CWWZP">Tabellen!$Q$7:$R$28</definedName>
    <definedName name="Factoruni_overl">[1]Input!$H$134</definedName>
    <definedName name="geenpool">Tabellen!$AJ$9:$AK$64</definedName>
    <definedName name="gemiddeld">Tabellen!$AQ$18</definedName>
    <definedName name="input_aantal_kinderen">INPUT!$J$2</definedName>
    <definedName name="input_betalingstermijn">INPUT!$X$2</definedName>
    <definedName name="input_burgerlijkestaat">INPUT!$G$2</definedName>
    <definedName name="input_cluster">INPUT!$W$2</definedName>
    <definedName name="input_correctiepercentage">INPUT!$AQ$2</definedName>
    <definedName name="input_datum_in_dienst">INPUT!$C$2</definedName>
    <definedName name="input_deelnemersjaren_vanaf">INPUT!$AL$2</definedName>
    <definedName name="input_franchise">INPUT!$L$2</definedName>
    <definedName name="input_fulltime_salaris">INPUT!$F$2</definedName>
    <definedName name="input_geboortedatum">INPUT!$B$2</definedName>
    <definedName name="input_geboortedatum_k1">INPUT!$Q$2</definedName>
    <definedName name="input_geboortedatum_k2">INPUT!$R$2</definedName>
    <definedName name="input_geboortedatum_k3">INPUT!$S$2</definedName>
    <definedName name="input_geboortedatum_k4">INPUT!$T$2</definedName>
    <definedName name="input_geboortedatum_k5">INPUT!$U$2</definedName>
    <definedName name="input_geboortedatum_partner">INPUT!$I$2</definedName>
    <definedName name="input_geknipte_regeling">INPUT!$AF$2</definedName>
    <definedName name="input_geslacht">INPUT!$A$2</definedName>
    <definedName name="input_geslacht_partner">INPUT!$H$2</definedName>
    <definedName name="input_knip_aanspraak_np">INPUT!$AD$2</definedName>
    <definedName name="input_knip_aanspraak_wzp">INPUT!$AE$2</definedName>
    <definedName name="input_knip_meeverzekeren">INPUT!$AG$2</definedName>
    <definedName name="input_kortingspercentage_np">INPUT!$AO$2</definedName>
    <definedName name="input_kortingspercentage_wzp">INPUT!$AP$2</definedName>
    <definedName name="input_max_pensioensalaris">INPUT!$AN$2</definedName>
    <definedName name="input_np_max_looptijd">INPUT!$AK$2</definedName>
    <definedName name="input_np_perc_per_dj">INPUT!$AJ$2</definedName>
    <definedName name="input_np_premie_perc_wg">INPUT!$Y$2</definedName>
    <definedName name="input_np_premie_perc_wn">INPUT!$Z$2</definedName>
    <definedName name="input_parttime_percentage">INPUT!$E$2</definedName>
    <definedName name="input_Pensioengevend_Salaris">INPUT!$M$2</definedName>
    <definedName name="input_Pensioengrondslag">INPUT!$N$2</definedName>
    <definedName name="input_pensioenleeftijd">INPUT!$P$2</definedName>
    <definedName name="input_periodesalaris">INPUT!$D$2</definedName>
    <definedName name="input_poliskosten">INPUT!$AC$2</definedName>
    <definedName name="input_poolwinst">INPUT!$V$2</definedName>
    <definedName name="input_stijgende_uitkering">INPUT!$AM$2</definedName>
    <definedName name="input_verzekerd_bedrag">#REF!</definedName>
    <definedName name="input_waardeoverdracht">INPUT!$O$2</definedName>
    <definedName name="input_waardeoverzdracht">INPUT!$O$2</definedName>
    <definedName name="input_wijzigingsdatum">INPUT!$K$2</definedName>
    <definedName name="input_wzp_eindleeftijd">INPUT!$AH$2</definedName>
    <definedName name="input_wzp_perc_np">INPUT!$AI$2</definedName>
    <definedName name="input_wzp_premie_perc_wg">INPUT!$AA$2</definedName>
    <definedName name="input_wzp_premie_perc_wn">INPUT!$AB$2</definedName>
    <definedName name="intrest">[2]tarief!$AN$9:$AN$68</definedName>
    <definedName name="kapwzp" localSheetId="1">Tabellen!$AT$11:$AX$60</definedName>
    <definedName name="NP">#REF!</definedName>
    <definedName name="Opslag">Nabestaandenpensioen!$B$13</definedName>
    <definedName name="OpslagANW">#REF!</definedName>
    <definedName name="opslagPVI">#REF!</definedName>
    <definedName name="output_franchise">OUTPUT!$B$2</definedName>
    <definedName name="output_gewogen_parttime_perc">OUTPUT!$M$2</definedName>
    <definedName name="output_partnerpensioen">OUTPUT!$E$2</definedName>
    <definedName name="output_partnerpensioen_kapitaal">OUTPUT!$D$2</definedName>
    <definedName name="output_pensioen_grondslag">OUTPUT!$C$2</definedName>
    <definedName name="output_pensioengevend_jaarsalaris">OUTPUT!$A$2</definedName>
    <definedName name="output_premie_pj_np">OUTPUT!$G$2</definedName>
    <definedName name="output_premie_pj_wzp">OUTPUT!$J$2</definedName>
    <definedName name="output_premie_wg">OUTPUT!$D$2</definedName>
    <definedName name="output_premie_wg_np">OUTPUT!$H$2</definedName>
    <definedName name="output_premie_wg_wzp">OUTPUT!$K$2</definedName>
    <definedName name="output_premie_wn">OUTPUT!$E$2</definedName>
    <definedName name="output_premie_wn_np">OUTPUT!$I$2</definedName>
    <definedName name="output_premie_wn_wzp">OUTPUT!$L$2</definedName>
    <definedName name="output_verzekerd_bedrag_per_jaar">OUTPUT!$A$2</definedName>
    <definedName name="output_wezenpensioen">OUTPUT!$F$2</definedName>
    <definedName name="pooltar">Tabellen!$AG$9:$AH$64</definedName>
    <definedName name="Poolwinst">#REF!</definedName>
    <definedName name="Provisie">#REF!</definedName>
    <definedName name="prudent">Tabellen!$AQ$19</definedName>
    <definedName name="PVI">Tabellen!$Z$6:$AA$58</definedName>
    <definedName name="rentewzp">[3]Tabellen!$AT$11:$AX$59</definedName>
    <definedName name="staffel">Tabellen!$AM$9:$AN$58</definedName>
    <definedName name="tarief">#REF!</definedName>
    <definedName name="VPOR">Tabellen!$W$6:$X$58</definedName>
    <definedName name="wzp">#REF!</definedName>
  </definedNames>
  <calcPr calcId="191029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8" i="5" l="1"/>
  <c r="AP6" i="5"/>
  <c r="AP7" i="5" s="1"/>
  <c r="AP8" i="5" s="1"/>
  <c r="AP9" i="5" s="1"/>
  <c r="AP10" i="5" s="1"/>
  <c r="AP11" i="5" s="1"/>
  <c r="AP12" i="5" s="1"/>
  <c r="AP13" i="5" s="1"/>
  <c r="AP5" i="5"/>
  <c r="AP4" i="5"/>
  <c r="AP3" i="5"/>
  <c r="N15" i="4"/>
  <c r="P15" i="4" s="1"/>
  <c r="M15" i="4"/>
  <c r="O15" i="4" s="1"/>
  <c r="J15" i="4"/>
  <c r="H15" i="4"/>
  <c r="I15" i="4" s="1"/>
  <c r="G15" i="4"/>
  <c r="E15" i="4"/>
  <c r="K15" i="4" s="1"/>
  <c r="D15" i="4"/>
  <c r="J7" i="4"/>
  <c r="K7" i="4" s="1"/>
  <c r="L7" i="4" s="1"/>
  <c r="J6" i="4"/>
  <c r="K6" i="4" s="1"/>
  <c r="L6" i="4" s="1"/>
  <c r="J5" i="4"/>
  <c r="K5" i="4" s="1"/>
  <c r="L5" i="4" s="1"/>
  <c r="J4" i="4"/>
  <c r="K4" i="4" s="1"/>
  <c r="L4" i="4" s="1"/>
  <c r="J3" i="4"/>
  <c r="K3" i="4" s="1"/>
  <c r="L3" i="4" s="1"/>
  <c r="D2" i="4"/>
  <c r="L18" i="3"/>
  <c r="N18" i="3" s="1"/>
  <c r="B2" i="1" s="1"/>
  <c r="K18" i="3"/>
  <c r="H18" i="3"/>
  <c r="F18" i="3"/>
  <c r="G18" i="3" s="1"/>
  <c r="E18" i="3"/>
  <c r="P18" i="3" s="1"/>
  <c r="C18" i="3"/>
  <c r="D18" i="3" s="1"/>
  <c r="B18" i="3"/>
  <c r="M2" i="1"/>
  <c r="A2" i="1"/>
  <c r="L15" i="4" l="1"/>
  <c r="F15" i="4"/>
  <c r="M18" i="3"/>
  <c r="I18" i="3"/>
  <c r="J18" i="3" s="1"/>
  <c r="Q15" i="4"/>
  <c r="R15" i="4" s="1"/>
  <c r="S15" i="4" s="1"/>
  <c r="J4" i="3"/>
  <c r="E2" i="1" s="1"/>
  <c r="O18" i="3"/>
  <c r="C2" i="1" s="1"/>
  <c r="R20" i="3"/>
  <c r="R21" i="3"/>
  <c r="R18" i="3"/>
  <c r="S18" i="3" s="1"/>
  <c r="Z18" i="3" s="1"/>
  <c r="L8" i="4"/>
  <c r="L4" i="3" s="1"/>
  <c r="D2" i="1" s="1"/>
  <c r="T15" i="4"/>
  <c r="U15" i="4" l="1"/>
  <c r="Z15" i="4" s="1"/>
  <c r="M4" i="3"/>
  <c r="U18" i="3"/>
  <c r="T18" i="3"/>
  <c r="AB15" i="4"/>
  <c r="K4" i="3"/>
  <c r="F2" i="1" s="1"/>
  <c r="V15" i="4"/>
  <c r="AC15" i="4" s="1"/>
  <c r="O4" i="3"/>
  <c r="I2" i="1" s="1"/>
  <c r="Q18" i="3"/>
  <c r="N4" i="3"/>
  <c r="H2" i="1" s="1"/>
  <c r="G2" i="1"/>
  <c r="W15" i="4"/>
  <c r="AD15" i="4" s="1"/>
  <c r="S12" i="3"/>
  <c r="X18" i="3"/>
  <c r="Y18" i="3"/>
  <c r="AA15" i="4"/>
  <c r="AA18" i="3" l="1"/>
  <c r="AE15" i="4"/>
  <c r="AB18" i="3"/>
  <c r="AC18" i="3" s="1"/>
</calcChain>
</file>

<file path=xl/sharedStrings.xml><?xml version="1.0" encoding="utf-8"?>
<sst xmlns="http://schemas.openxmlformats.org/spreadsheetml/2006/main" count="263" uniqueCount="166">
  <si>
    <t>Burgerlijkestaat</t>
  </si>
  <si>
    <t>Betaling</t>
  </si>
  <si>
    <t xml:space="preserve">met </t>
  </si>
  <si>
    <t>per wees</t>
  </si>
  <si>
    <t>Wijzigingsdatum</t>
  </si>
  <si>
    <t>factor</t>
  </si>
  <si>
    <t>1 = jaar, 2 = 1/2 jaar, 3 = kwartaal en 4 = maand</t>
  </si>
  <si>
    <t>gemiddeld</t>
  </si>
  <si>
    <t>Nabestaande</t>
  </si>
  <si>
    <t>Males</t>
  </si>
  <si>
    <t>WN</t>
  </si>
  <si>
    <t>Leeftijd</t>
  </si>
  <si>
    <t>Tpid</t>
  </si>
  <si>
    <t>Kinderen</t>
  </si>
  <si>
    <t>Franchise</t>
  </si>
  <si>
    <t>unisex</t>
  </si>
  <si>
    <t>Females</t>
  </si>
  <si>
    <t xml:space="preserve">               -  </t>
  </si>
  <si>
    <t>Eindleeftijd wzp:</t>
  </si>
  <si>
    <t>WzP Premie werkgever</t>
  </si>
  <si>
    <t xml:space="preserve">Kosten </t>
  </si>
  <si>
    <t>Parttime_percentage</t>
  </si>
  <si>
    <t>Totaal</t>
  </si>
  <si>
    <t>NP</t>
  </si>
  <si>
    <t>Cluster voor PV:</t>
  </si>
  <si>
    <t>Pensioendatum:</t>
  </si>
  <si>
    <t>Wezenpensioen</t>
  </si>
  <si>
    <t>m/v</t>
  </si>
  <si>
    <t>Pensioengrondslag</t>
  </si>
  <si>
    <t>WzP Jaarpremie</t>
  </si>
  <si>
    <t>partner</t>
  </si>
  <si>
    <t>Kind 4 geboortedatum</t>
  </si>
  <si>
    <t>Fulltime_salaris</t>
  </si>
  <si>
    <t>POOLWINSTDELING</t>
  </si>
  <si>
    <t>Nominale rentetermijnstructuur per 31-10-2015</t>
  </si>
  <si>
    <t>Kapitaal</t>
  </si>
  <si>
    <t>Kind 5 geboortedatum</t>
  </si>
  <si>
    <t>21 tot uiterlijk 27 (studerend of invalide)</t>
  </si>
  <si>
    <t>WZP:</t>
  </si>
  <si>
    <t>zonder  Poolwinst zie formule N3</t>
  </si>
  <si>
    <t>kapitaal</t>
  </si>
  <si>
    <t>Kapitalisatiefactor FV</t>
  </si>
  <si>
    <t>opslag</t>
  </si>
  <si>
    <t>met pool</t>
  </si>
  <si>
    <t xml:space="preserve">Cluster </t>
  </si>
  <si>
    <t>betalingstermijn</t>
  </si>
  <si>
    <t>franchise</t>
  </si>
  <si>
    <t>Premie werkgever</t>
  </si>
  <si>
    <t>Pensioengevend_Salaris</t>
  </si>
  <si>
    <t>€ per deelnemer regulier NP</t>
  </si>
  <si>
    <t>Geboortedatum</t>
  </si>
  <si>
    <t>Risicotarief</t>
  </si>
  <si>
    <t>Indienst</t>
  </si>
  <si>
    <t>Salaris</t>
  </si>
  <si>
    <t>Datum_in_dienst</t>
  </si>
  <si>
    <t>Opslag excasso bij rente:</t>
  </si>
  <si>
    <t>Nominale rentetermijnstructuur per 30-09-2014</t>
  </si>
  <si>
    <t>€ per deelnemer premievrijstelling staffel</t>
  </si>
  <si>
    <t xml:space="preserve">zonder </t>
  </si>
  <si>
    <t>Yieldcurve per september 2014. GBM/V 2012-2062 per eind 2014</t>
  </si>
  <si>
    <t>WG</t>
  </si>
  <si>
    <t>begunstigde</t>
  </si>
  <si>
    <t>restitutie</t>
  </si>
  <si>
    <t>afhankelijk van sectorindeling</t>
  </si>
  <si>
    <t>Winstdeling</t>
  </si>
  <si>
    <t>WzP premie werknemer</t>
  </si>
  <si>
    <t>End age 21</t>
  </si>
  <si>
    <t>Kosten</t>
  </si>
  <si>
    <t>Yieldcurve per september 2014. GBM/V 2012-2062 per eind 2014, sterfte cf PLT</t>
  </si>
  <si>
    <t>Pensioen-%</t>
  </si>
  <si>
    <t>Wzp</t>
  </si>
  <si>
    <t>met</t>
  </si>
  <si>
    <t>Partnerpensioen</t>
  </si>
  <si>
    <t>Kapitalisatiefactoren nabestaandenpensioen  Multisafe</t>
  </si>
  <si>
    <t>Tekencommissie</t>
  </si>
  <si>
    <t>Kostenopslag per deelnemer</t>
  </si>
  <si>
    <t>Factoren PV</t>
  </si>
  <si>
    <t>poolwinst</t>
  </si>
  <si>
    <t>End age 27, after 21 when studying</t>
  </si>
  <si>
    <t>tot 21</t>
  </si>
  <si>
    <t>overlijdens-</t>
  </si>
  <si>
    <t>Factor</t>
  </si>
  <si>
    <t>pt-%</t>
  </si>
  <si>
    <t xml:space="preserve">Na </t>
  </si>
  <si>
    <t>Pensioenleeftijd</t>
  </si>
  <si>
    <t>Partnerpensioen kapitaal</t>
  </si>
  <si>
    <t>Jaarpremie</t>
  </si>
  <si>
    <t>Aantal_kinderen</t>
  </si>
  <si>
    <t>Kapitalisatiefactoren direct ingaand wezenpensioen</t>
  </si>
  <si>
    <t>premie</t>
  </si>
  <si>
    <t>wzp</t>
  </si>
  <si>
    <t>kosten</t>
  </si>
  <si>
    <t>mogelijke</t>
  </si>
  <si>
    <t>Staffel</t>
  </si>
  <si>
    <t>Geslacht</t>
  </si>
  <si>
    <t>leeftijd</t>
  </si>
  <si>
    <t>prudent:</t>
  </si>
  <si>
    <t>Kind 2 geboortedatum</t>
  </si>
  <si>
    <t>geb. dat.</t>
  </si>
  <si>
    <t>risicopremie</t>
  </si>
  <si>
    <t>pensioendatum</t>
  </si>
  <si>
    <t>Kind 3 geboortedatum</t>
  </si>
  <si>
    <t>Geboortedatum_partner</t>
  </si>
  <si>
    <t>werknrid</t>
  </si>
  <si>
    <t>lft</t>
  </si>
  <si>
    <t>Kind 1 geboortedatum</t>
  </si>
  <si>
    <t>pg</t>
  </si>
  <si>
    <t>Tarief</t>
  </si>
  <si>
    <t>winstdeling</t>
  </si>
  <si>
    <t>Gewogen parttime %</t>
  </si>
  <si>
    <t xml:space="preserve">Leeftijd </t>
  </si>
  <si>
    <t>Geslacht_partner</t>
  </si>
  <si>
    <t>Inclusief PV</t>
  </si>
  <si>
    <t>premie werknemer</t>
  </si>
  <si>
    <t>dienstjaren</t>
  </si>
  <si>
    <t>incl 20% wzp</t>
  </si>
  <si>
    <t>21 of 27 (studerend of invalide)</t>
  </si>
  <si>
    <t>VPOR</t>
  </si>
  <si>
    <t>fictief</t>
  </si>
  <si>
    <t>pensioenleeftijd:</t>
  </si>
  <si>
    <t>pt- jaarsalaris</t>
  </si>
  <si>
    <t>NP sjabloon rekenregels</t>
  </si>
  <si>
    <t>Intrest:</t>
  </si>
  <si>
    <t>Franchise:</t>
  </si>
  <si>
    <t>Poolwinst</t>
  </si>
  <si>
    <t>Maximum salaris</t>
  </si>
  <si>
    <t>Maximum aantal dienstjaren:</t>
  </si>
  <si>
    <t>FT jaarsalaris</t>
  </si>
  <si>
    <t>Waardeoverdracht</t>
  </si>
  <si>
    <t>tot 27 studerend of invalide</t>
  </si>
  <si>
    <t>Periodesalaris</t>
  </si>
  <si>
    <t>zonder pool</t>
  </si>
  <si>
    <t>provisie</t>
  </si>
  <si>
    <t>Bedrijfid</t>
  </si>
  <si>
    <t>te bereiken NP</t>
  </si>
  <si>
    <t>NIET WINSTDELEND</t>
  </si>
  <si>
    <t>Rekendatum:</t>
  </si>
  <si>
    <t>Voor deelnemers zonder partner maar met pensioengerechtigde kinderen.</t>
  </si>
  <si>
    <t>winstdelende</t>
  </si>
  <si>
    <t>Cluster</t>
  </si>
  <si>
    <t>Betalingstermijn</t>
  </si>
  <si>
    <t>NP premie perc wg</t>
  </si>
  <si>
    <t>NP premie perc wn</t>
  </si>
  <si>
    <t>WzP Premie perc wg</t>
  </si>
  <si>
    <t>WzP Premie perc wn</t>
  </si>
  <si>
    <t>Poliskosten</t>
  </si>
  <si>
    <t>knip NP</t>
  </si>
  <si>
    <t>knip WzP</t>
  </si>
  <si>
    <t>Geknipte regeling</t>
  </si>
  <si>
    <t>Knip meeverzekeren</t>
  </si>
  <si>
    <t>WzP eindleeftijd</t>
  </si>
  <si>
    <t>WzP perc np</t>
  </si>
  <si>
    <t>NP Perc per dj</t>
  </si>
  <si>
    <t>NP max looptijd</t>
  </si>
  <si>
    <t>Deelnemersjaren vanaf</t>
  </si>
  <si>
    <t>Man</t>
  </si>
  <si>
    <t>Alleenstaand</t>
  </si>
  <si>
    <t>1</t>
  </si>
  <si>
    <t>Ja</t>
  </si>
  <si>
    <t>Agrarisch bedrijf (Cluster 4)</t>
  </si>
  <si>
    <t>Half jaar</t>
  </si>
  <si>
    <t>DID</t>
  </si>
  <si>
    <t>Kortingspercentage NP</t>
  </si>
  <si>
    <t>Kortingspercentage WzP</t>
  </si>
  <si>
    <t>Correctiepercentage</t>
  </si>
  <si>
    <t>stijgende_uitkering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</si>
</sst>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0.0%"/>
    <numFmt numFmtId="166" formatCode="#,##0.00_-"/>
    <numFmt numFmtId="167" formatCode="_-* #,##0_-;_-* #,##0\-;_-* &quot;-&quot;_-;_-@_-"/>
    <numFmt numFmtId="168" formatCode="[$-413]d/mmm/yy;@"/>
    <numFmt numFmtId="169" formatCode="&quot;€&quot;\ #,##0.00_-"/>
    <numFmt numFmtId="170" formatCode="0.000%"/>
    <numFmt numFmtId="171" formatCode="#,##0_-"/>
    <numFmt numFmtId="172" formatCode="dd\-mm\-yyyy"/>
    <numFmt numFmtId="173" formatCode="_-&quot;€&quot;\ * #,##0.00_-;_-&quot;€&quot;\ * #,##0.00\-;_-&quot;€&quot;\ * &quot;-&quot;??_-;_-@_-"/>
    <numFmt numFmtId="174" formatCode="#,##0_ ;\-#,##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Univers"/>
      <family val="2"/>
    </font>
    <font>
      <sz val="9"/>
      <name val="Verdana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SwissReSans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0"/>
      <color indexed="10"/>
      <name val="Calibri"/>
      <family val="2"/>
    </font>
    <font>
      <sz val="10"/>
      <name val="Verdana"/>
      <family val="2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sz val="11"/>
      <color indexed="20"/>
      <name val="SwissReSans"/>
      <family val="2"/>
    </font>
    <font>
      <b/>
      <sz val="11"/>
      <color indexed="52"/>
      <name val="SwissReSans"/>
      <family val="2"/>
    </font>
    <font>
      <b/>
      <sz val="11"/>
      <color indexed="9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60"/>
      <name val="SwissReSans"/>
      <family val="2"/>
    </font>
    <font>
      <b/>
      <sz val="11"/>
      <color indexed="63"/>
      <name val="SwissReSans"/>
      <family val="2"/>
    </font>
    <font>
      <b/>
      <sz val="18"/>
      <color indexed="62"/>
      <name val="Cambria"/>
      <family val="2"/>
    </font>
    <font>
      <b/>
      <sz val="11"/>
      <color indexed="8"/>
      <name val="SwissReSans"/>
      <family val="2"/>
    </font>
    <font>
      <sz val="11"/>
      <color indexed="10"/>
      <name val="SwissReSans"/>
      <family val="2"/>
    </font>
    <font>
      <sz val="10"/>
      <name val="Arial"/>
      <family val="2"/>
    </font>
    <font>
      <b/>
      <sz val="10"/>
      <color rgb="FF0070C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32859279152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3">
    <xf numFmtId="0" fontId="0" fillId="0" borderId="0"/>
    <xf numFmtId="9" fontId="49" fillId="0" borderId="0"/>
    <xf numFmtId="44" fontId="49" fillId="0" borderId="0"/>
    <xf numFmtId="42" fontId="49" fillId="0" borderId="0"/>
    <xf numFmtId="43" fontId="49" fillId="0" borderId="0"/>
    <xf numFmtId="41" fontId="49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2" fillId="20" borderId="0"/>
    <xf numFmtId="0" fontId="2" fillId="21" borderId="0"/>
    <xf numFmtId="0" fontId="2" fillId="22" borderId="0"/>
    <xf numFmtId="0" fontId="2" fillId="23" borderId="0"/>
    <xf numFmtId="0" fontId="2" fillId="24" borderId="0"/>
    <xf numFmtId="0" fontId="2" fillId="25" borderId="0"/>
    <xf numFmtId="0" fontId="6" fillId="26" borderId="1"/>
    <xf numFmtId="0" fontId="3" fillId="27" borderId="2"/>
    <xf numFmtId="0" fontId="7" fillId="0" borderId="3"/>
    <xf numFmtId="0" fontId="8" fillId="28" borderId="0"/>
    <xf numFmtId="0" fontId="9" fillId="29" borderId="1"/>
    <xf numFmtId="0" fontId="10" fillId="0" borderId="4"/>
    <xf numFmtId="0" fontId="11" fillId="0" borderId="4"/>
    <xf numFmtId="0" fontId="12" fillId="0" borderId="5"/>
    <xf numFmtId="0" fontId="12" fillId="0" borderId="0"/>
    <xf numFmtId="0" fontId="13" fillId="30" borderId="0"/>
    <xf numFmtId="0" fontId="49" fillId="31" borderId="1"/>
    <xf numFmtId="0" fontId="14" fillId="32" borderId="0"/>
    <xf numFmtId="0" fontId="15" fillId="0" borderId="0"/>
    <xf numFmtId="0" fontId="4" fillId="0" borderId="6"/>
    <xf numFmtId="0" fontId="16" fillId="26" borderId="1"/>
    <xf numFmtId="0" fontId="17" fillId="0" borderId="0"/>
    <xf numFmtId="0" fontId="5" fillId="0" borderId="0"/>
    <xf numFmtId="0" fontId="1" fillId="0" borderId="0"/>
    <xf numFmtId="0" fontId="21" fillId="0" borderId="0"/>
    <xf numFmtId="164" fontId="20" fillId="0" borderId="0"/>
    <xf numFmtId="9" fontId="21" fillId="0" borderId="0"/>
    <xf numFmtId="173" fontId="49" fillId="0" borderId="0"/>
    <xf numFmtId="0" fontId="24" fillId="28" borderId="0"/>
    <xf numFmtId="0" fontId="21" fillId="0" borderId="0"/>
    <xf numFmtId="9" fontId="49" fillId="0" borderId="0"/>
    <xf numFmtId="0" fontId="31" fillId="0" borderId="0"/>
    <xf numFmtId="0" fontId="32" fillId="29" borderId="0"/>
    <xf numFmtId="0" fontId="32" fillId="33" borderId="0"/>
    <xf numFmtId="0" fontId="32" fillId="31" borderId="0"/>
    <xf numFmtId="0" fontId="32" fillId="29" borderId="0"/>
    <xf numFmtId="0" fontId="32" fillId="34" borderId="0"/>
    <xf numFmtId="0" fontId="32" fillId="31" borderId="0"/>
    <xf numFmtId="0" fontId="32" fillId="35" borderId="0"/>
    <xf numFmtId="0" fontId="32" fillId="33" borderId="0"/>
    <xf numFmtId="0" fontId="32" fillId="36" borderId="0"/>
    <xf numFmtId="0" fontId="32" fillId="35" borderId="0"/>
    <xf numFmtId="0" fontId="32" fillId="37" borderId="0"/>
    <xf numFmtId="0" fontId="32" fillId="36" borderId="0"/>
    <xf numFmtId="0" fontId="33" fillId="38" borderId="0"/>
    <xf numFmtId="0" fontId="33" fillId="33" borderId="0"/>
    <xf numFmtId="0" fontId="33" fillId="36" borderId="0"/>
    <xf numFmtId="0" fontId="33" fillId="35" borderId="0"/>
    <xf numFmtId="0" fontId="33" fillId="38" borderId="0"/>
    <xf numFmtId="0" fontId="33" fillId="33" borderId="0"/>
    <xf numFmtId="0" fontId="33" fillId="38" borderId="0"/>
    <xf numFmtId="0" fontId="33" fillId="39" borderId="0"/>
    <xf numFmtId="0" fontId="33" fillId="40" borderId="0"/>
    <xf numFmtId="0" fontId="33" fillId="41" borderId="0"/>
    <xf numFmtId="0" fontId="33" fillId="38" borderId="0"/>
    <xf numFmtId="0" fontId="33" fillId="42" borderId="0"/>
    <xf numFmtId="0" fontId="34" fillId="43" borderId="0"/>
    <xf numFmtId="0" fontId="35" fillId="44" borderId="7"/>
    <xf numFmtId="0" fontId="36" fillId="45" borderId="8"/>
    <xf numFmtId="0" fontId="37" fillId="0" borderId="0"/>
    <xf numFmtId="0" fontId="38" fillId="46" borderId="0"/>
    <xf numFmtId="0" fontId="39" fillId="0" borderId="9"/>
    <xf numFmtId="0" fontId="40" fillId="0" borderId="10"/>
    <xf numFmtId="0" fontId="41" fillId="0" borderId="11"/>
    <xf numFmtId="0" fontId="41" fillId="0" borderId="0"/>
    <xf numFmtId="0" fontId="42" fillId="36" borderId="7"/>
    <xf numFmtId="164" fontId="31" fillId="0" borderId="0"/>
    <xf numFmtId="0" fontId="43" fillId="0" borderId="12"/>
    <xf numFmtId="0" fontId="44" fillId="36" borderId="0"/>
    <xf numFmtId="0" fontId="21" fillId="31" borderId="13"/>
    <xf numFmtId="0" fontId="45" fillId="44" borderId="14"/>
    <xf numFmtId="9" fontId="31" fillId="0" borderId="0"/>
    <xf numFmtId="9" fontId="21" fillId="0" borderId="0"/>
    <xf numFmtId="0" fontId="21" fillId="0" borderId="0"/>
    <xf numFmtId="0" fontId="46" fillId="0" borderId="0"/>
    <xf numFmtId="0" fontId="47" fillId="0" borderId="15"/>
    <xf numFmtId="173" fontId="31" fillId="0" borderId="0"/>
    <xf numFmtId="0" fontId="48" fillId="0" borderId="0"/>
    <xf numFmtId="0" fontId="49" fillId="0" borderId="0"/>
  </cellStyleXfs>
  <cellXfs count="190">
    <xf numFmtId="0" fontId="0" fillId="0" borderId="0" xfId="0"/>
    <xf numFmtId="2" fontId="0" fillId="0" borderId="0" xfId="0" applyNumberFormat="1"/>
    <xf numFmtId="2" fontId="50" fillId="0" borderId="0" xfId="0" applyNumberFormat="1" applyFont="1"/>
    <xf numFmtId="2" fontId="0" fillId="0" borderId="0" xfId="102" applyNumberFormat="1" applyFont="1"/>
    <xf numFmtId="0" fontId="0" fillId="0" borderId="0" xfId="102" applyFont="1" applyFill="1"/>
    <xf numFmtId="4" fontId="0" fillId="0" borderId="0" xfId="102" applyNumberFormat="1" applyFont="1"/>
    <xf numFmtId="0" fontId="1" fillId="0" borderId="0" xfId="47" applyFont="1" applyFill="1" applyBorder="1" applyProtection="1">
      <protection locked="0"/>
    </xf>
    <xf numFmtId="172" fontId="1" fillId="0" borderId="0" xfId="47" applyNumberFormat="1" applyFont="1" applyFill="1" applyBorder="1" applyProtection="1">
      <protection locked="0"/>
    </xf>
    <xf numFmtId="0" fontId="19" fillId="0" borderId="0" xfId="48" applyFont="1"/>
    <xf numFmtId="0" fontId="0" fillId="0" borderId="0" xfId="48" applyFont="1"/>
    <xf numFmtId="0" fontId="0" fillId="9" borderId="0" xfId="48" applyFont="1" applyFill="1"/>
    <xf numFmtId="166" fontId="0" fillId="0" borderId="0" xfId="48" applyNumberFormat="1" applyFont="1"/>
    <xf numFmtId="165" fontId="0" fillId="0" borderId="0" xfId="48" applyNumberFormat="1" applyFont="1"/>
    <xf numFmtId="10" fontId="0" fillId="0" borderId="18" xfId="48" applyNumberFormat="1" applyFont="1" applyBorder="1"/>
    <xf numFmtId="10" fontId="0" fillId="9" borderId="0" xfId="48" applyNumberFormat="1" applyFont="1" applyFill="1"/>
    <xf numFmtId="0" fontId="0" fillId="0" borderId="19" xfId="48" applyFont="1" applyBorder="1"/>
    <xf numFmtId="164" fontId="0" fillId="0" borderId="20" xfId="49" applyFont="1" applyBorder="1"/>
    <xf numFmtId="0" fontId="0" fillId="0" borderId="21" xfId="48" applyFont="1" applyBorder="1"/>
    <xf numFmtId="164" fontId="0" fillId="0" borderId="22" xfId="49" applyFont="1" applyBorder="1"/>
    <xf numFmtId="10" fontId="0" fillId="0" borderId="0" xfId="50" applyNumberFormat="1" applyFont="1"/>
    <xf numFmtId="10" fontId="0" fillId="0" borderId="0" xfId="48" applyNumberFormat="1" applyFont="1"/>
    <xf numFmtId="0" fontId="0" fillId="0" borderId="0" xfId="48" applyFont="1" applyAlignment="1">
      <alignment horizontal="right"/>
    </xf>
    <xf numFmtId="9" fontId="0" fillId="0" borderId="0" xfId="48" applyNumberFormat="1" applyFont="1"/>
    <xf numFmtId="0" fontId="0" fillId="0" borderId="0" xfId="48" applyFont="1" applyAlignment="1">
      <alignment wrapText="1"/>
    </xf>
    <xf numFmtId="0" fontId="18" fillId="0" borderId="0" xfId="48" applyFont="1"/>
    <xf numFmtId="0" fontId="0" fillId="0" borderId="0" xfId="48" applyFont="1" applyAlignment="1">
      <alignment horizontal="center"/>
    </xf>
    <xf numFmtId="10" fontId="0" fillId="47" borderId="0" xfId="48" applyNumberFormat="1" applyFont="1" applyFill="1"/>
    <xf numFmtId="0" fontId="0" fillId="48" borderId="23" xfId="48" applyFont="1" applyFill="1" applyBorder="1"/>
    <xf numFmtId="0" fontId="18" fillId="0" borderId="0" xfId="48" applyFont="1" applyAlignment="1">
      <alignment horizontal="center"/>
    </xf>
    <xf numFmtId="0" fontId="0" fillId="0" borderId="18" xfId="48" applyFont="1" applyBorder="1"/>
    <xf numFmtId="0" fontId="0" fillId="48" borderId="24" xfId="48" applyFont="1" applyFill="1" applyBorder="1"/>
    <xf numFmtId="164" fontId="0" fillId="0" borderId="25" xfId="49" applyFont="1" applyBorder="1"/>
    <xf numFmtId="0" fontId="0" fillId="9" borderId="19" xfId="48" applyFont="1" applyFill="1" applyBorder="1"/>
    <xf numFmtId="0" fontId="0" fillId="0" borderId="19" xfId="48" applyFont="1" applyBorder="1" applyAlignment="1">
      <alignment wrapText="1"/>
    </xf>
    <xf numFmtId="0" fontId="0" fillId="0" borderId="20" xfId="48" applyFont="1" applyBorder="1"/>
    <xf numFmtId="0" fontId="0" fillId="49" borderId="19" xfId="48" applyFont="1" applyFill="1" applyBorder="1"/>
    <xf numFmtId="0" fontId="18" fillId="50" borderId="1" xfId="48" applyFont="1" applyFill="1" applyBorder="1" applyAlignment="1">
      <alignment wrapText="1"/>
    </xf>
    <xf numFmtId="0" fontId="0" fillId="0" borderId="25" xfId="48" applyFont="1" applyBorder="1"/>
    <xf numFmtId="164" fontId="19" fillId="0" borderId="0" xfId="48" applyNumberFormat="1" applyFont="1" applyFill="1" applyBorder="1"/>
    <xf numFmtId="0" fontId="19" fillId="0" borderId="0" xfId="48" applyFont="1" applyFill="1" applyBorder="1" applyAlignment="1">
      <alignment horizontal="right"/>
    </xf>
    <xf numFmtId="14" fontId="22" fillId="0" borderId="0" xfId="48" applyNumberFormat="1" applyFont="1"/>
    <xf numFmtId="14" fontId="19" fillId="0" borderId="0" xfId="48" applyNumberFormat="1" applyFont="1" applyBorder="1"/>
    <xf numFmtId="0" fontId="19" fillId="0" borderId="26" xfId="48" applyFont="1" applyBorder="1"/>
    <xf numFmtId="0" fontId="19" fillId="0" borderId="27" xfId="48" applyFont="1" applyBorder="1"/>
    <xf numFmtId="0" fontId="19" fillId="0" borderId="5" xfId="48" applyFont="1" applyBorder="1"/>
    <xf numFmtId="0" fontId="19" fillId="51" borderId="23" xfId="48" applyFont="1" applyFill="1" applyBorder="1"/>
    <xf numFmtId="0" fontId="19" fillId="0" borderId="5" xfId="48" applyFont="1" applyBorder="1" applyAlignment="1">
      <alignment wrapText="1"/>
    </xf>
    <xf numFmtId="0" fontId="19" fillId="0" borderId="28" xfId="48" applyFont="1" applyBorder="1"/>
    <xf numFmtId="0" fontId="19" fillId="0" borderId="29" xfId="48" applyFont="1" applyBorder="1"/>
    <xf numFmtId="0" fontId="19" fillId="51" borderId="30" xfId="48" applyFont="1" applyFill="1" applyBorder="1"/>
    <xf numFmtId="0" fontId="19" fillId="0" borderId="0" xfId="48" applyFont="1" applyBorder="1"/>
    <xf numFmtId="0" fontId="19" fillId="0" borderId="0" xfId="48" applyFont="1" applyAlignment="1">
      <alignment horizontal="left"/>
    </xf>
    <xf numFmtId="0" fontId="19" fillId="0" borderId="16" xfId="48" applyFont="1" applyBorder="1"/>
    <xf numFmtId="0" fontId="19" fillId="0" borderId="17" xfId="48" applyFont="1" applyBorder="1"/>
    <xf numFmtId="0" fontId="19" fillId="51" borderId="24" xfId="48" applyFont="1" applyFill="1" applyBorder="1"/>
    <xf numFmtId="14" fontId="23" fillId="0" borderId="0" xfId="48" applyNumberFormat="1" applyFont="1"/>
    <xf numFmtId="9" fontId="23" fillId="0" borderId="0" xfId="48" applyNumberFormat="1" applyFont="1"/>
    <xf numFmtId="164" fontId="19" fillId="0" borderId="0" xfId="48" applyNumberFormat="1" applyFont="1"/>
    <xf numFmtId="0" fontId="23" fillId="0" borderId="0" xfId="48" applyFont="1" applyBorder="1" applyAlignment="1">
      <alignment horizontal="center" vertical="center"/>
    </xf>
    <xf numFmtId="167" fontId="23" fillId="13" borderId="31" xfId="48" applyNumberFormat="1" applyFont="1" applyFill="1" applyBorder="1"/>
    <xf numFmtId="0" fontId="23" fillId="0" borderId="0" xfId="48" applyNumberFormat="1" applyFont="1"/>
    <xf numFmtId="0" fontId="23" fillId="0" borderId="0" xfId="48" applyFont="1"/>
    <xf numFmtId="0" fontId="19" fillId="13" borderId="31" xfId="48" applyFont="1" applyFill="1" applyBorder="1"/>
    <xf numFmtId="0" fontId="23" fillId="0" borderId="0" xfId="48" applyFont="1" applyAlignment="1">
      <alignment horizontal="right"/>
    </xf>
    <xf numFmtId="14" fontId="23" fillId="13" borderId="31" xfId="48" applyNumberFormat="1" applyFont="1" applyFill="1" applyBorder="1"/>
    <xf numFmtId="169" fontId="19" fillId="0" borderId="0" xfId="48" applyNumberFormat="1" applyFont="1"/>
    <xf numFmtId="0" fontId="19" fillId="0" borderId="0" xfId="48" applyFont="1" applyFill="1" applyBorder="1"/>
    <xf numFmtId="169" fontId="19" fillId="0" borderId="0" xfId="48" applyNumberFormat="1" applyFont="1" applyFill="1" applyBorder="1"/>
    <xf numFmtId="0" fontId="27" fillId="0" borderId="0" xfId="48" applyFont="1"/>
    <xf numFmtId="0" fontId="27" fillId="0" borderId="0" xfId="48" applyFont="1" applyFill="1" applyBorder="1"/>
    <xf numFmtId="171" fontId="19" fillId="0" borderId="0" xfId="48" applyNumberFormat="1" applyFont="1" applyFill="1" applyBorder="1"/>
    <xf numFmtId="4" fontId="19" fillId="0" borderId="0" xfId="48" applyNumberFormat="1" applyFont="1" applyBorder="1"/>
    <xf numFmtId="168" fontId="19" fillId="0" borderId="0" xfId="48" applyNumberFormat="1" applyFont="1" applyBorder="1"/>
    <xf numFmtId="9" fontId="25" fillId="0" borderId="0" xfId="50" applyNumberFormat="1" applyFont="1" applyFill="1" applyBorder="1" applyProtection="1">
      <protection locked="0"/>
    </xf>
    <xf numFmtId="0" fontId="26" fillId="0" borderId="0" xfId="48" applyFont="1" applyFill="1" applyBorder="1" applyAlignment="1">
      <alignment horizontal="right"/>
    </xf>
    <xf numFmtId="14" fontId="19" fillId="0" borderId="0" xfId="48" applyNumberFormat="1" applyFont="1"/>
    <xf numFmtId="169" fontId="19" fillId="0" borderId="5" xfId="48" applyNumberFormat="1" applyFont="1" applyBorder="1"/>
    <xf numFmtId="1" fontId="23" fillId="13" borderId="31" xfId="48" applyNumberFormat="1" applyFont="1" applyFill="1" applyBorder="1"/>
    <xf numFmtId="9" fontId="23" fillId="13" borderId="31" xfId="48" applyNumberFormat="1" applyFont="1" applyFill="1" applyBorder="1"/>
    <xf numFmtId="168" fontId="19" fillId="0" borderId="0" xfId="48" applyNumberFormat="1" applyFont="1"/>
    <xf numFmtId="170" fontId="23" fillId="13" borderId="31" xfId="48" applyNumberFormat="1" applyFont="1" applyFill="1" applyBorder="1"/>
    <xf numFmtId="0" fontId="23" fillId="13" borderId="31" xfId="48" applyNumberFormat="1" applyFont="1" applyFill="1" applyBorder="1"/>
    <xf numFmtId="0" fontId="21" fillId="0" borderId="0" xfId="53" applyFont="1"/>
    <xf numFmtId="0" fontId="19" fillId="0" borderId="0" xfId="48" applyNumberFormat="1" applyFont="1" applyBorder="1"/>
    <xf numFmtId="0" fontId="0" fillId="0" borderId="32" xfId="102" applyFont="1" applyBorder="1"/>
    <xf numFmtId="0" fontId="0" fillId="0" borderId="16" xfId="102" applyFont="1" applyBorder="1"/>
    <xf numFmtId="0" fontId="0" fillId="0" borderId="0" xfId="102" applyFont="1" applyBorder="1"/>
    <xf numFmtId="0" fontId="0" fillId="0" borderId="5" xfId="102" applyFont="1" applyBorder="1"/>
    <xf numFmtId="0" fontId="0" fillId="13" borderId="0" xfId="102" applyFont="1" applyFill="1" applyBorder="1"/>
    <xf numFmtId="4" fontId="0" fillId="49" borderId="33" xfId="102" applyNumberFormat="1" applyFont="1" applyFill="1" applyBorder="1"/>
    <xf numFmtId="4" fontId="0" fillId="0" borderId="33" xfId="102" applyNumberFormat="1" applyFont="1" applyBorder="1"/>
    <xf numFmtId="0" fontId="21" fillId="0" borderId="26" xfId="48" applyBorder="1"/>
    <xf numFmtId="0" fontId="18" fillId="0" borderId="17" xfId="102" applyFont="1" applyBorder="1"/>
    <xf numFmtId="0" fontId="0" fillId="0" borderId="29" xfId="102" applyFont="1" applyBorder="1"/>
    <xf numFmtId="0" fontId="0" fillId="13" borderId="28" xfId="102" applyFont="1" applyFill="1" applyBorder="1"/>
    <xf numFmtId="174" fontId="19" fillId="0" borderId="0" xfId="48" applyNumberFormat="1" applyFont="1" applyFill="1" applyBorder="1"/>
    <xf numFmtId="0" fontId="28" fillId="0" borderId="0" xfId="53" applyFont="1" applyFill="1" applyBorder="1"/>
    <xf numFmtId="0" fontId="19" fillId="0" borderId="0" xfId="48" applyFont="1" applyFill="1"/>
    <xf numFmtId="0" fontId="8" fillId="0" borderId="0" xfId="52" applyFont="1" applyFill="1"/>
    <xf numFmtId="0" fontId="19" fillId="0" borderId="34" xfId="48" applyFont="1" applyBorder="1"/>
    <xf numFmtId="0" fontId="0" fillId="0" borderId="0" xfId="102" applyFont="1"/>
    <xf numFmtId="0" fontId="23" fillId="48" borderId="31" xfId="53" applyFont="1" applyFill="1" applyBorder="1"/>
    <xf numFmtId="9" fontId="23" fillId="48" borderId="31" xfId="53" applyNumberFormat="1" applyFont="1" applyFill="1" applyBorder="1"/>
    <xf numFmtId="164" fontId="0" fillId="10" borderId="1" xfId="102" applyNumberFormat="1" applyFont="1" applyFill="1" applyBorder="1"/>
    <xf numFmtId="164" fontId="0" fillId="10" borderId="1" xfId="102" applyNumberFormat="1" applyFont="1" applyFill="1" applyBorder="1"/>
    <xf numFmtId="164" fontId="0" fillId="47" borderId="1" xfId="102" applyNumberFormat="1" applyFont="1" applyFill="1" applyBorder="1"/>
    <xf numFmtId="43" fontId="0" fillId="10" borderId="1" xfId="102" applyNumberFormat="1" applyFont="1" applyFill="1" applyBorder="1"/>
    <xf numFmtId="164" fontId="0" fillId="10" borderId="35" xfId="102" applyNumberFormat="1" applyFont="1" applyFill="1" applyBorder="1"/>
    <xf numFmtId="164" fontId="0" fillId="47" borderId="35" xfId="102" applyNumberFormat="1" applyFont="1" applyFill="1" applyBorder="1"/>
    <xf numFmtId="164" fontId="0" fillId="10" borderId="0" xfId="49" applyFont="1" applyFill="1"/>
    <xf numFmtId="0" fontId="19" fillId="0" borderId="0" xfId="102" applyFont="1"/>
    <xf numFmtId="0" fontId="19" fillId="0" borderId="0" xfId="102" applyFont="1" applyAlignment="1">
      <alignment horizontal="right"/>
    </xf>
    <xf numFmtId="9" fontId="19" fillId="0" borderId="0" xfId="102" applyNumberFormat="1" applyFont="1"/>
    <xf numFmtId="0" fontId="29" fillId="0" borderId="0" xfId="102" applyFont="1"/>
    <xf numFmtId="0" fontId="0" fillId="0" borderId="17" xfId="102" applyFont="1" applyBorder="1"/>
    <xf numFmtId="43" fontId="0" fillId="10" borderId="29" xfId="102" applyNumberFormat="1" applyFont="1" applyFill="1" applyBorder="1"/>
    <xf numFmtId="43" fontId="0" fillId="10" borderId="28" xfId="102" applyNumberFormat="1" applyFont="1" applyFill="1" applyBorder="1"/>
    <xf numFmtId="43" fontId="21" fillId="10" borderId="29" xfId="49" applyNumberFormat="1" applyFont="1" applyFill="1" applyBorder="1"/>
    <xf numFmtId="43" fontId="21" fillId="10" borderId="28" xfId="49" applyNumberFormat="1" applyFont="1" applyFill="1" applyBorder="1"/>
    <xf numFmtId="43" fontId="21" fillId="10" borderId="27" xfId="49" applyNumberFormat="1" applyFont="1" applyFill="1" applyBorder="1"/>
    <xf numFmtId="43" fontId="21" fillId="10" borderId="26" xfId="49" applyNumberFormat="1" applyFont="1" applyFill="1" applyBorder="1"/>
    <xf numFmtId="169" fontId="19" fillId="0" borderId="0" xfId="102" applyNumberFormat="1" applyFont="1"/>
    <xf numFmtId="14" fontId="23" fillId="36" borderId="31" xfId="102" applyNumberFormat="1" applyFont="1" applyFill="1" applyBorder="1"/>
    <xf numFmtId="14" fontId="23" fillId="0" borderId="0" xfId="102" applyNumberFormat="1" applyFont="1"/>
    <xf numFmtId="164" fontId="19" fillId="0" borderId="0" xfId="102" applyNumberFormat="1" applyFont="1"/>
    <xf numFmtId="0" fontId="23" fillId="0" borderId="0" xfId="102" applyFont="1" applyAlignment="1">
      <alignment horizontal="right"/>
    </xf>
    <xf numFmtId="0" fontId="23" fillId="36" borderId="31" xfId="102" applyNumberFormat="1" applyFont="1" applyFill="1" applyBorder="1"/>
    <xf numFmtId="0" fontId="23" fillId="0" borderId="0" xfId="102" applyNumberFormat="1" applyFont="1"/>
    <xf numFmtId="170" fontId="23" fillId="36" borderId="31" xfId="102" applyNumberFormat="1" applyFont="1" applyFill="1" applyBorder="1"/>
    <xf numFmtId="0" fontId="23" fillId="0" borderId="0" xfId="102" applyFont="1"/>
    <xf numFmtId="9" fontId="23" fillId="36" borderId="31" xfId="102" applyNumberFormat="1" applyFont="1" applyFill="1" applyBorder="1"/>
    <xf numFmtId="1" fontId="23" fillId="36" borderId="31" xfId="102" applyNumberFormat="1" applyFont="1" applyFill="1" applyBorder="1"/>
    <xf numFmtId="167" fontId="23" fillId="36" borderId="31" xfId="102" applyNumberFormat="1" applyFont="1" applyFill="1" applyBorder="1"/>
    <xf numFmtId="0" fontId="19" fillId="36" borderId="31" xfId="102" applyFont="1" applyFill="1" applyBorder="1"/>
    <xf numFmtId="0" fontId="23" fillId="0" borderId="0" xfId="102" applyFont="1" applyBorder="1" applyAlignment="1">
      <alignment horizontal="center" vertical="center"/>
    </xf>
    <xf numFmtId="9" fontId="23" fillId="0" borderId="0" xfId="102" applyNumberFormat="1" applyFont="1"/>
    <xf numFmtId="43" fontId="19" fillId="0" borderId="0" xfId="102" applyNumberFormat="1" applyFont="1"/>
    <xf numFmtId="0" fontId="19" fillId="0" borderId="29" xfId="102" applyFont="1" applyBorder="1"/>
    <xf numFmtId="0" fontId="19" fillId="0" borderId="28" xfId="102" applyFont="1" applyBorder="1"/>
    <xf numFmtId="0" fontId="19" fillId="0" borderId="0" xfId="102" applyFont="1" applyBorder="1"/>
    <xf numFmtId="0" fontId="19" fillId="36" borderId="24" xfId="102" applyFont="1" applyFill="1" applyBorder="1"/>
    <xf numFmtId="0" fontId="19" fillId="0" borderId="17" xfId="102" applyFont="1" applyBorder="1"/>
    <xf numFmtId="0" fontId="19" fillId="0" borderId="16" xfId="102" applyFont="1" applyBorder="1"/>
    <xf numFmtId="0" fontId="19" fillId="36" borderId="30" xfId="102" applyFont="1" applyFill="1" applyBorder="1"/>
    <xf numFmtId="0" fontId="23" fillId="0" borderId="5" xfId="102" applyFont="1" applyBorder="1"/>
    <xf numFmtId="0" fontId="19" fillId="0" borderId="5" xfId="102" applyFont="1" applyBorder="1"/>
    <xf numFmtId="0" fontId="19" fillId="0" borderId="5" xfId="102" applyFont="1" applyBorder="1"/>
    <xf numFmtId="169" fontId="19" fillId="0" borderId="5" xfId="102" applyNumberFormat="1" applyFont="1" applyBorder="1"/>
    <xf numFmtId="0" fontId="19" fillId="0" borderId="5" xfId="102" applyFont="1" applyBorder="1" applyAlignment="1">
      <alignment wrapText="1"/>
    </xf>
    <xf numFmtId="0" fontId="19" fillId="0" borderId="27" xfId="102" applyFont="1" applyBorder="1"/>
    <xf numFmtId="0" fontId="19" fillId="0" borderId="26" xfId="102" applyFont="1" applyBorder="1"/>
    <xf numFmtId="0" fontId="19" fillId="36" borderId="23" xfId="102" applyFont="1" applyFill="1" applyBorder="1"/>
    <xf numFmtId="0" fontId="19" fillId="0" borderId="32" xfId="102" applyFont="1" applyBorder="1"/>
    <xf numFmtId="14" fontId="19" fillId="0" borderId="32" xfId="102" applyNumberFormat="1" applyFont="1" applyBorder="1"/>
    <xf numFmtId="0" fontId="19" fillId="0" borderId="32" xfId="102" applyFont="1" applyFill="1" applyBorder="1" applyAlignment="1">
      <alignment horizontal="right"/>
    </xf>
    <xf numFmtId="14" fontId="22" fillId="0" borderId="0" xfId="102" applyNumberFormat="1" applyFont="1"/>
    <xf numFmtId="168" fontId="19" fillId="0" borderId="32" xfId="102" applyNumberFormat="1" applyFont="1" applyBorder="1"/>
    <xf numFmtId="14" fontId="19" fillId="0" borderId="0" xfId="102" applyNumberFormat="1" applyFont="1"/>
    <xf numFmtId="164" fontId="19" fillId="0" borderId="32" xfId="102" applyNumberFormat="1" applyFont="1" applyFill="1" applyBorder="1"/>
    <xf numFmtId="4" fontId="19" fillId="0" borderId="32" xfId="102" applyNumberFormat="1" applyFont="1" applyBorder="1"/>
    <xf numFmtId="9" fontId="25" fillId="0" borderId="32" xfId="54" applyNumberFormat="1" applyFont="1" applyFill="1" applyBorder="1" applyProtection="1">
      <protection locked="0"/>
    </xf>
    <xf numFmtId="171" fontId="19" fillId="0" borderId="32" xfId="102" applyNumberFormat="1" applyFont="1" applyFill="1" applyBorder="1"/>
    <xf numFmtId="14" fontId="19" fillId="0" borderId="0" xfId="102" applyNumberFormat="1" applyFont="1" applyBorder="1"/>
    <xf numFmtId="0" fontId="19" fillId="0" borderId="0" xfId="102" applyFont="1" applyFill="1" applyBorder="1" applyAlignment="1">
      <alignment horizontal="right"/>
    </xf>
    <xf numFmtId="168" fontId="19" fillId="0" borderId="0" xfId="102" applyNumberFormat="1" applyFont="1" applyBorder="1"/>
    <xf numFmtId="164" fontId="19" fillId="0" borderId="0" xfId="102" applyNumberFormat="1" applyFont="1" applyFill="1" applyBorder="1"/>
    <xf numFmtId="4" fontId="19" fillId="0" borderId="0" xfId="102" applyNumberFormat="1" applyFont="1" applyBorder="1"/>
    <xf numFmtId="9" fontId="25" fillId="0" borderId="0" xfId="54" applyNumberFormat="1" applyFont="1" applyFill="1" applyBorder="1" applyProtection="1">
      <protection locked="0"/>
    </xf>
    <xf numFmtId="171" fontId="19" fillId="0" borderId="0" xfId="102" applyNumberFormat="1" applyFont="1" applyFill="1" applyBorder="1"/>
    <xf numFmtId="0" fontId="30" fillId="0" borderId="0" xfId="102" applyFont="1" applyFill="1" applyBorder="1" applyAlignment="1">
      <alignment horizontal="right"/>
    </xf>
    <xf numFmtId="14" fontId="19" fillId="0" borderId="0" xfId="102" applyNumberFormat="1" applyFont="1" applyFill="1" applyBorder="1"/>
    <xf numFmtId="14" fontId="0" fillId="0" borderId="0" xfId="102" applyNumberFormat="1" applyFont="1"/>
    <xf numFmtId="14" fontId="19" fillId="0" borderId="0" xfId="102" applyNumberFormat="1" applyFont="1"/>
    <xf numFmtId="0" fontId="0" fillId="0" borderId="0" xfId="102" applyNumberFormat="1" applyFont="1"/>
    <xf numFmtId="4" fontId="0" fillId="0" borderId="0" xfId="102" applyNumberFormat="1" applyFont="1" applyFill="1" applyBorder="1"/>
    <xf numFmtId="0" fontId="19" fillId="0" borderId="0" xfId="102" applyFont="1" applyAlignment="1">
      <alignment horizontal="left"/>
    </xf>
    <xf numFmtId="167" fontId="23" fillId="13" borderId="31" xfId="102" applyNumberFormat="1" applyFont="1" applyFill="1" applyBorder="1"/>
    <xf numFmtId="14" fontId="23" fillId="0" borderId="0" xfId="102" applyNumberFormat="1" applyFont="1"/>
    <xf numFmtId="0" fontId="19" fillId="0" borderId="0" xfId="102" applyFont="1"/>
    <xf numFmtId="169" fontId="19" fillId="0" borderId="0" xfId="102" applyNumberFormat="1" applyFont="1"/>
    <xf numFmtId="0" fontId="19" fillId="0" borderId="0" xfId="102" applyFont="1" applyFill="1"/>
    <xf numFmtId="43" fontId="0" fillId="47" borderId="0" xfId="97" applyNumberFormat="1" applyFont="1" applyFill="1"/>
    <xf numFmtId="0" fontId="0" fillId="47" borderId="0" xfId="97" applyFont="1" applyFill="1"/>
    <xf numFmtId="164" fontId="0" fillId="47" borderId="0" xfId="49" applyNumberFormat="1" applyFont="1" applyFill="1"/>
    <xf numFmtId="0" fontId="0" fillId="0" borderId="0" xfId="102" applyFont="1" applyFill="1" applyBorder="1"/>
    <xf numFmtId="0" fontId="0" fillId="0" borderId="0" xfId="102" applyFont="1" applyFill="1"/>
    <xf numFmtId="0" fontId="23" fillId="0" borderId="17" xfId="48" applyFont="1" applyBorder="1" applyAlignment="1">
      <alignment horizontal="center" vertical="center"/>
    </xf>
    <xf numFmtId="0" fontId="23" fillId="0" borderId="16" xfId="48" applyFont="1" applyBorder="1" applyAlignment="1">
      <alignment horizontal="center" vertical="center"/>
    </xf>
    <xf numFmtId="0" fontId="23" fillId="0" borderId="17" xfId="102" applyFont="1" applyBorder="1" applyAlignment="1">
      <alignment horizontal="center" vertical="center"/>
    </xf>
    <xf numFmtId="0" fontId="23" fillId="0" borderId="16" xfId="102" applyFont="1" applyBorder="1" applyAlignment="1">
      <alignment horizontal="center" vertical="center"/>
    </xf>
  </cellXfs>
  <cellStyles count="103">
    <cellStyle name="20% - Accent1" xfId="6" xr:uid="{00000000-0005-0000-0000-000006000000}"/>
    <cellStyle name="20% - Accent1 2" xfId="56" xr:uid="{00000000-0005-0000-0000-000038000000}"/>
    <cellStyle name="20% - Accent2" xfId="7" xr:uid="{00000000-0005-0000-0000-000007000000}"/>
    <cellStyle name="20% - Accent2 2" xfId="57" xr:uid="{00000000-0005-0000-0000-000039000000}"/>
    <cellStyle name="20% - Accent3" xfId="8" xr:uid="{00000000-0005-0000-0000-000008000000}"/>
    <cellStyle name="20% - Accent3 2" xfId="58" xr:uid="{00000000-0005-0000-0000-00003A000000}"/>
    <cellStyle name="20% - Accent4" xfId="9" xr:uid="{00000000-0005-0000-0000-000009000000}"/>
    <cellStyle name="20% - Accent4 2" xfId="59" xr:uid="{00000000-0005-0000-0000-00003B000000}"/>
    <cellStyle name="20% - Accent5" xfId="10" xr:uid="{00000000-0005-0000-0000-00000A000000}"/>
    <cellStyle name="20% - Accent5 2" xfId="60" xr:uid="{00000000-0005-0000-0000-00003C000000}"/>
    <cellStyle name="20% - Accent6" xfId="11" xr:uid="{00000000-0005-0000-0000-00000B000000}"/>
    <cellStyle name="20% - Accent6 2" xfId="61" xr:uid="{00000000-0005-0000-0000-00003D000000}"/>
    <cellStyle name="40% - Accent1" xfId="12" xr:uid="{00000000-0005-0000-0000-00000C000000}"/>
    <cellStyle name="40% - Accent1 2" xfId="62" xr:uid="{00000000-0005-0000-0000-00003E000000}"/>
    <cellStyle name="40% - Accent2" xfId="13" xr:uid="{00000000-0005-0000-0000-00000D000000}"/>
    <cellStyle name="40% - Accent2 2" xfId="63" xr:uid="{00000000-0005-0000-0000-00003F000000}"/>
    <cellStyle name="40% - Accent3" xfId="14" xr:uid="{00000000-0005-0000-0000-00000E000000}"/>
    <cellStyle name="40% - Accent3 2" xfId="64" xr:uid="{00000000-0005-0000-0000-000040000000}"/>
    <cellStyle name="40% - Accent4" xfId="15" xr:uid="{00000000-0005-0000-0000-00000F000000}"/>
    <cellStyle name="40% - Accent4 2" xfId="65" xr:uid="{00000000-0005-0000-0000-000041000000}"/>
    <cellStyle name="40% - Accent5" xfId="16" xr:uid="{00000000-0005-0000-0000-000010000000}"/>
    <cellStyle name="40% - Accent5 2" xfId="66" xr:uid="{00000000-0005-0000-0000-000042000000}"/>
    <cellStyle name="40% - Accent6" xfId="17" xr:uid="{00000000-0005-0000-0000-000011000000}"/>
    <cellStyle name="40% - Accent6 2" xfId="67" xr:uid="{00000000-0005-0000-0000-000043000000}"/>
    <cellStyle name="60% - Accent1" xfId="18" xr:uid="{00000000-0005-0000-0000-000012000000}"/>
    <cellStyle name="60% - Accent1 2" xfId="68" xr:uid="{00000000-0005-0000-0000-000044000000}"/>
    <cellStyle name="60% - Accent2" xfId="19" xr:uid="{00000000-0005-0000-0000-000013000000}"/>
    <cellStyle name="60% - Accent2 2" xfId="69" xr:uid="{00000000-0005-0000-0000-000045000000}"/>
    <cellStyle name="60% - Accent3" xfId="20" xr:uid="{00000000-0005-0000-0000-000014000000}"/>
    <cellStyle name="60% - Accent3 2" xfId="70" xr:uid="{00000000-0005-0000-0000-000046000000}"/>
    <cellStyle name="60% - Accent4" xfId="21" xr:uid="{00000000-0005-0000-0000-000015000000}"/>
    <cellStyle name="60% - Accent4 2" xfId="71" xr:uid="{00000000-0005-0000-0000-000047000000}"/>
    <cellStyle name="60% - Accent5" xfId="22" xr:uid="{00000000-0005-0000-0000-000016000000}"/>
    <cellStyle name="60% - Accent5 2" xfId="72" xr:uid="{00000000-0005-0000-0000-000048000000}"/>
    <cellStyle name="60% - Accent6" xfId="23" xr:uid="{00000000-0005-0000-0000-000017000000}"/>
    <cellStyle name="60% - Accent6 2" xfId="73" xr:uid="{00000000-0005-0000-0000-000049000000}"/>
    <cellStyle name="Accent1" xfId="24" xr:uid="{00000000-0005-0000-0000-000018000000}"/>
    <cellStyle name="Accent1 2" xfId="74" xr:uid="{00000000-0005-0000-0000-00004A000000}"/>
    <cellStyle name="Accent2" xfId="25" xr:uid="{00000000-0005-0000-0000-000019000000}"/>
    <cellStyle name="Accent2 2" xfId="75" xr:uid="{00000000-0005-0000-0000-00004B000000}"/>
    <cellStyle name="Accent3" xfId="26" xr:uid="{00000000-0005-0000-0000-00001A000000}"/>
    <cellStyle name="Accent3 2" xfId="76" xr:uid="{00000000-0005-0000-0000-00004C000000}"/>
    <cellStyle name="Accent4" xfId="27" xr:uid="{00000000-0005-0000-0000-00001B000000}"/>
    <cellStyle name="Accent4 2" xfId="77" xr:uid="{00000000-0005-0000-0000-00004D000000}"/>
    <cellStyle name="Accent5" xfId="28" xr:uid="{00000000-0005-0000-0000-00001C000000}"/>
    <cellStyle name="Accent5 2" xfId="78" xr:uid="{00000000-0005-0000-0000-00004E000000}"/>
    <cellStyle name="Accent6" xfId="29" xr:uid="{00000000-0005-0000-0000-00001D000000}"/>
    <cellStyle name="Accent6 2" xfId="79" xr:uid="{00000000-0005-0000-0000-00004F000000}"/>
    <cellStyle name="Bad" xfId="80" xr:uid="{00000000-0005-0000-0000-000050000000}"/>
    <cellStyle name="Berekening" xfId="30" xr:uid="{00000000-0005-0000-0000-00001E000000}"/>
    <cellStyle name="Calculation" xfId="81" xr:uid="{00000000-0005-0000-0000-000051000000}"/>
    <cellStyle name="Check Cell" xfId="82" xr:uid="{00000000-0005-0000-0000-000052000000}"/>
    <cellStyle name="Comma" xfId="4" xr:uid="{00000000-0005-0000-0000-000004000000}"/>
    <cellStyle name="Comma [0]" xfId="5" xr:uid="{00000000-0005-0000-0000-000005000000}"/>
    <cellStyle name="Controlecel" xfId="31" xr:uid="{00000000-0005-0000-0000-00001F000000}"/>
    <cellStyle name="Currency" xfId="2" xr:uid="{00000000-0005-0000-0000-000002000000}"/>
    <cellStyle name="Currency [0]" xfId="3" xr:uid="{00000000-0005-0000-0000-000003000000}"/>
    <cellStyle name="Euro" xfId="51" xr:uid="{00000000-0005-0000-0000-000033000000}"/>
    <cellStyle name="Explanatory Text" xfId="83" xr:uid="{00000000-0005-0000-0000-000053000000}"/>
    <cellStyle name="Gekoppelde cel" xfId="32" xr:uid="{00000000-0005-0000-0000-000020000000}"/>
    <cellStyle name="Goed" xfId="33" xr:uid="{00000000-0005-0000-0000-000021000000}"/>
    <cellStyle name="Goed 2" xfId="52" xr:uid="{00000000-0005-0000-0000-000034000000}"/>
    <cellStyle name="Good" xfId="84" xr:uid="{00000000-0005-0000-0000-000054000000}"/>
    <cellStyle name="Heading 1" xfId="85" xr:uid="{00000000-0005-0000-0000-000055000000}"/>
    <cellStyle name="Heading 2" xfId="86" xr:uid="{00000000-0005-0000-0000-000056000000}"/>
    <cellStyle name="Heading 3" xfId="87" xr:uid="{00000000-0005-0000-0000-000057000000}"/>
    <cellStyle name="Heading 4" xfId="88" xr:uid="{00000000-0005-0000-0000-000058000000}"/>
    <cellStyle name="Input" xfId="89" xr:uid="{00000000-0005-0000-0000-000059000000}"/>
    <cellStyle name="Invoer" xfId="34" xr:uid="{00000000-0005-0000-0000-000022000000}"/>
    <cellStyle name="Komma 2" xfId="49" xr:uid="{00000000-0005-0000-0000-000031000000}"/>
    <cellStyle name="Komma 3" xfId="90" xr:uid="{00000000-0005-0000-0000-00005A000000}"/>
    <cellStyle name="Kop 1" xfId="35" xr:uid="{00000000-0005-0000-0000-000023000000}"/>
    <cellStyle name="Kop 2" xfId="36" xr:uid="{00000000-0005-0000-0000-000024000000}"/>
    <cellStyle name="Kop 3" xfId="37" xr:uid="{00000000-0005-0000-0000-000025000000}"/>
    <cellStyle name="Kop 4" xfId="38" xr:uid="{00000000-0005-0000-0000-000026000000}"/>
    <cellStyle name="Linked Cell" xfId="91" xr:uid="{00000000-0005-0000-0000-00005B000000}"/>
    <cellStyle name="Neutraal" xfId="39" xr:uid="{00000000-0005-0000-0000-000027000000}"/>
    <cellStyle name="Neutral" xfId="92" xr:uid="{00000000-0005-0000-0000-00005C000000}"/>
    <cellStyle name="Normal" xfId="102" xr:uid="{00000000-0005-0000-0000-000000000000}"/>
    <cellStyle name="Note" xfId="93" xr:uid="{00000000-0005-0000-0000-00005D000000}"/>
    <cellStyle name="Notitie" xfId="40" xr:uid="{00000000-0005-0000-0000-000028000000}"/>
    <cellStyle name="Ongeldig" xfId="41" xr:uid="{00000000-0005-0000-0000-000029000000}"/>
    <cellStyle name="Output" xfId="94" xr:uid="{00000000-0005-0000-0000-00005E000000}"/>
    <cellStyle name="Percent" xfId="1" xr:uid="{00000000-0005-0000-0000-000001000000}"/>
    <cellStyle name="Procent" xfId="54" xr:uid="{00000000-0005-0000-0000-000036000000}"/>
    <cellStyle name="Procent 2" xfId="50" xr:uid="{00000000-0005-0000-0000-000032000000}"/>
    <cellStyle name="Procent 3" xfId="96" xr:uid="{00000000-0005-0000-0000-000060000000}"/>
    <cellStyle name="Procent 4" xfId="95" xr:uid="{00000000-0005-0000-0000-00005F000000}"/>
    <cellStyle name="Standaard" xfId="0" builtinId="0"/>
    <cellStyle name="Standaard 2" xfId="48" xr:uid="{00000000-0005-0000-0000-000030000000}"/>
    <cellStyle name="Standaard 3" xfId="53" xr:uid="{00000000-0005-0000-0000-000035000000}"/>
    <cellStyle name="Standaard 3 2" xfId="97" xr:uid="{00000000-0005-0000-0000-000061000000}"/>
    <cellStyle name="Standaard 4" xfId="55" xr:uid="{00000000-0005-0000-0000-000037000000}"/>
    <cellStyle name="Standaard_Blad1" xfId="47" xr:uid="{00000000-0005-0000-0000-00002F000000}"/>
    <cellStyle name="Titel" xfId="42" xr:uid="{00000000-0005-0000-0000-00002A000000}"/>
    <cellStyle name="Title" xfId="98" xr:uid="{00000000-0005-0000-0000-000062000000}"/>
    <cellStyle name="Totaal" xfId="43" xr:uid="{00000000-0005-0000-0000-00002B000000}"/>
    <cellStyle name="Total" xfId="99" xr:uid="{00000000-0005-0000-0000-000063000000}"/>
    <cellStyle name="Uitvoer" xfId="44" xr:uid="{00000000-0005-0000-0000-00002C000000}"/>
    <cellStyle name="Valuta 2" xfId="100" xr:uid="{00000000-0005-0000-0000-000064000000}"/>
    <cellStyle name="Verklarende tekst" xfId="45" xr:uid="{00000000-0005-0000-0000-00002D000000}"/>
    <cellStyle name="Waarschuwingstekst" xfId="46" xr:uid="{00000000-0005-0000-0000-00002E000000}"/>
    <cellStyle name="Warning Text" xfId="101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NSIONFUNDS\OFFERTES\NEDERLAND\10000%20SQUARE%20KNOT\COLLECTIEVE%20OFFERTES%20SQUARE%20KNOT\METTLER%20TOLEDO\OFFERTEMODEL%20V%2011.0.F(INCL%20COMMISSION%20MORTALITY)%203%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NSIONFUNDS\OFFERTES\NEDERLAND\10085%20MULTISAFE\NP%20MANTEL\BEREKENINGEN%20VOOR%20OFFERTE%20ALS%20UITGEBRACHT%20OBV%20YIELDCURVE%2031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TEMP\WZP%20MULTISAFE%20MANTELREKENSHEE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Versiebeheer"/>
      <sheetName val="Wensenlijstje"/>
      <sheetName val="File"/>
      <sheetName val="Tabellen"/>
      <sheetName val="Input"/>
      <sheetName val="Inputmgt"/>
      <sheetName val="Hulp"/>
      <sheetName val="dump"/>
      <sheetName val="Bestandberek"/>
      <sheetName val="Sectoren"/>
      <sheetName val="ToT 2009"/>
      <sheetName val="Pricing"/>
      <sheetName val="klantbestand"/>
      <sheetName val="TabelPVI"/>
      <sheetName val="Printbestand"/>
      <sheetName val="signaleringsbestand"/>
      <sheetName val="Tariefstabel"/>
      <sheetName val="Tabelhiaatcont"/>
      <sheetName val="Tabel1535"/>
      <sheetName val="TabelSL"/>
      <sheetName val="Tabelstoploss"/>
      <sheetName val="Tabelexc"/>
      <sheetName val="Tabelonderb"/>
      <sheetName val="Tabeloverl"/>
      <sheetName val="Mosesbestand_ovl"/>
      <sheetName val="Mosesbestand_di"/>
      <sheetName val="Ziekte en geen SRS"/>
      <sheetName val="Schadefile"/>
      <sheetName val="Schadeberek"/>
      <sheetName val="Schadebestand"/>
      <sheetName val="schades"/>
      <sheetName val="Schadeoverzichten"/>
      <sheetName val="sectorfactoren"/>
      <sheetName val="Printbestand_TBV EVM_Mor"/>
      <sheetName val="EVM_cash_flows_Mor"/>
      <sheetName val="EVM assumptions"/>
      <sheetName val="DI_prognosis"/>
      <sheetName val="Printbestand_TBV EVM_DI"/>
      <sheetName val="EVM_cash_flows_DI"/>
      <sheetName val="General data"/>
      <sheetName val="Omzetten"/>
      <sheetName val="BeschPremie"/>
      <sheetName val="WDstuur"/>
      <sheetName val="Basic Input"/>
      <sheetName val="Profit Formula"/>
      <sheetName val="Summary"/>
      <sheetName val="Parameters"/>
      <sheetName val="CashFlows"/>
      <sheetName val="Assumptions"/>
      <sheetName val="Histogra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4">
          <cell r="H134">
            <v>1.0029926025553499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en"/>
      <sheetName val="tarief"/>
      <sheetName val="rente tarief gelijk"/>
      <sheetName val="stijgend"/>
      <sheetName val="sectorfactoren_pv tarief"/>
      <sheetName val="Offerte"/>
      <sheetName val="Compatibility Report"/>
      <sheetName val="m v tabel"/>
    </sheetNames>
    <sheetDataSet>
      <sheetData sheetId="0" refreshError="1"/>
      <sheetData sheetId="1">
        <row r="9">
          <cell r="AN9">
            <v>1.3939999999999999E-2</v>
          </cell>
        </row>
        <row r="10">
          <cell r="AN10">
            <v>1.5879999999999998E-2</v>
          </cell>
        </row>
        <row r="11">
          <cell r="AN11">
            <v>1.7639999999999999E-2</v>
          </cell>
        </row>
        <row r="12">
          <cell r="AN12">
            <v>1.976E-2</v>
          </cell>
        </row>
        <row r="13">
          <cell r="AN13">
            <v>2.1680000000000001E-2</v>
          </cell>
        </row>
        <row r="14">
          <cell r="AN14">
            <v>2.3269999999999999E-2</v>
          </cell>
        </row>
        <row r="15">
          <cell r="AN15">
            <v>2.4819999999999998E-2</v>
          </cell>
        </row>
        <row r="16">
          <cell r="AN16">
            <v>2.6339999999999999E-2</v>
          </cell>
        </row>
        <row r="17">
          <cell r="AN17">
            <v>2.7490000000000001E-2</v>
          </cell>
        </row>
        <row r="18">
          <cell r="AN18">
            <v>2.8500000000000001E-2</v>
          </cell>
        </row>
        <row r="19">
          <cell r="AN19">
            <v>2.945E-2</v>
          </cell>
        </row>
        <row r="20">
          <cell r="AN20">
            <v>3.0249999999999999E-2</v>
          </cell>
        </row>
        <row r="21">
          <cell r="AN21">
            <v>3.0880000000000001E-2</v>
          </cell>
        </row>
        <row r="22">
          <cell r="AN22">
            <v>3.1419999999999997E-2</v>
          </cell>
        </row>
        <row r="23">
          <cell r="AN23">
            <v>3.1899999999999998E-2</v>
          </cell>
        </row>
        <row r="24">
          <cell r="AN24">
            <v>3.2000000000000001E-2</v>
          </cell>
        </row>
        <row r="25">
          <cell r="AN25">
            <v>3.209E-2</v>
          </cell>
        </row>
        <row r="26">
          <cell r="AN26">
            <v>3.218E-2</v>
          </cell>
        </row>
        <row r="27">
          <cell r="AN27">
            <v>3.2250000000000001E-2</v>
          </cell>
        </row>
        <row r="28">
          <cell r="AN28">
            <v>3.2320000000000002E-2</v>
          </cell>
        </row>
        <row r="29">
          <cell r="AN29">
            <v>3.2030000000000003E-2</v>
          </cell>
        </row>
        <row r="30">
          <cell r="AN30">
            <v>3.177E-2</v>
          </cell>
        </row>
        <row r="31">
          <cell r="AN31">
            <v>3.1530000000000002E-2</v>
          </cell>
        </row>
        <row r="32">
          <cell r="AN32">
            <v>3.1320000000000001E-2</v>
          </cell>
        </row>
        <row r="33">
          <cell r="AN33">
            <v>3.1119999999999998E-2</v>
          </cell>
        </row>
        <row r="34">
          <cell r="AN34">
            <v>3.0679999999999999E-2</v>
          </cell>
        </row>
        <row r="35">
          <cell r="AN35">
            <v>3.0269999999999998E-2</v>
          </cell>
        </row>
        <row r="36">
          <cell r="AN36">
            <v>2.989E-2</v>
          </cell>
        </row>
        <row r="37">
          <cell r="AN37">
            <v>2.954E-2</v>
          </cell>
        </row>
        <row r="38">
          <cell r="AN38">
            <v>2.9219999999999999E-2</v>
          </cell>
        </row>
        <row r="39">
          <cell r="AN39">
            <v>2.8899999999999999E-2</v>
          </cell>
        </row>
        <row r="40">
          <cell r="AN40">
            <v>2.861E-2</v>
          </cell>
        </row>
        <row r="41">
          <cell r="AN41">
            <v>2.8340000000000001E-2</v>
          </cell>
        </row>
        <row r="42">
          <cell r="AN42">
            <v>2.8080000000000001E-2</v>
          </cell>
        </row>
        <row r="43">
          <cell r="AN43">
            <v>2.784E-2</v>
          </cell>
        </row>
        <row r="44">
          <cell r="AN44">
            <v>2.7609999999999999E-2</v>
          </cell>
        </row>
        <row r="45">
          <cell r="AN45">
            <v>2.7400000000000001E-2</v>
          </cell>
        </row>
        <row r="46">
          <cell r="AN46">
            <v>2.7189999999999999E-2</v>
          </cell>
        </row>
        <row r="47">
          <cell r="AN47">
            <v>2.7E-2</v>
          </cell>
        </row>
        <row r="48">
          <cell r="AN48">
            <v>2.681E-2</v>
          </cell>
        </row>
        <row r="49">
          <cell r="AN49">
            <v>2.6710000000000001E-2</v>
          </cell>
        </row>
        <row r="50">
          <cell r="AN50">
            <v>2.6620000000000001E-2</v>
          </cell>
        </row>
        <row r="51">
          <cell r="AN51">
            <v>2.6530000000000001E-2</v>
          </cell>
        </row>
        <row r="52">
          <cell r="AN52">
            <v>2.6450000000000001E-2</v>
          </cell>
        </row>
        <row r="53">
          <cell r="AN53">
            <v>2.6360000000000001E-2</v>
          </cell>
        </row>
        <row r="54">
          <cell r="AN54">
            <v>2.6290000000000001E-2</v>
          </cell>
        </row>
        <row r="55">
          <cell r="AN55">
            <v>2.6210000000000001E-2</v>
          </cell>
        </row>
        <row r="56">
          <cell r="AN56">
            <v>2.614E-2</v>
          </cell>
        </row>
        <row r="57">
          <cell r="AN57">
            <v>2.6069999999999999E-2</v>
          </cell>
        </row>
        <row r="58">
          <cell r="AN58">
            <v>2.6009999999999998E-2</v>
          </cell>
        </row>
        <row r="59">
          <cell r="AN59">
            <v>2.5940000000000001E-2</v>
          </cell>
        </row>
        <row r="60">
          <cell r="AN60">
            <v>2.588E-2</v>
          </cell>
        </row>
        <row r="61">
          <cell r="AN61">
            <v>2.5819999999999999E-2</v>
          </cell>
        </row>
        <row r="62">
          <cell r="AN62">
            <v>2.5770000000000001E-2</v>
          </cell>
        </row>
        <row r="63">
          <cell r="AN63">
            <v>2.571E-2</v>
          </cell>
        </row>
        <row r="64">
          <cell r="AN64">
            <v>2.5659999999999999E-2</v>
          </cell>
        </row>
        <row r="65">
          <cell r="AN65">
            <v>2.5610000000000001E-2</v>
          </cell>
        </row>
        <row r="66">
          <cell r="AN66">
            <v>2.5559999999999999E-2</v>
          </cell>
        </row>
        <row r="67">
          <cell r="AN67">
            <v>2.5510000000000001E-2</v>
          </cell>
        </row>
        <row r="68">
          <cell r="AN68">
            <v>2.547E-2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e en opslagen invoer"/>
      <sheetName val="Wezenpensioen"/>
      <sheetName val="Tabellen"/>
    </sheetNames>
    <sheetDataSet>
      <sheetData sheetId="0"/>
      <sheetData sheetId="1"/>
      <sheetData sheetId="2">
        <row r="11">
          <cell r="AT11">
            <v>18</v>
          </cell>
          <cell r="AU11">
            <v>19.606872690448601</v>
          </cell>
          <cell r="AV11">
            <v>19.606872690448601</v>
          </cell>
          <cell r="AW11">
            <v>20.6445736783452</v>
          </cell>
          <cell r="AX11">
            <v>20.6445736783452</v>
          </cell>
        </row>
        <row r="12">
          <cell r="AT12">
            <v>19</v>
          </cell>
          <cell r="AU12">
            <v>19.606872690448601</v>
          </cell>
          <cell r="AV12">
            <v>20.047068702868899</v>
          </cell>
          <cell r="AW12">
            <v>20.6445736783452</v>
          </cell>
          <cell r="AX12">
            <v>21.108067227510301</v>
          </cell>
        </row>
        <row r="13">
          <cell r="AT13">
            <v>20</v>
          </cell>
          <cell r="AU13">
            <v>19.606872690448601</v>
          </cell>
          <cell r="AV13">
            <v>19.696035136399601</v>
          </cell>
          <cell r="AW13">
            <v>20.6445736783452</v>
          </cell>
          <cell r="AX13">
            <v>20.804465554529202</v>
          </cell>
        </row>
        <row r="14">
          <cell r="AT14">
            <v>21</v>
          </cell>
          <cell r="AU14">
            <v>20.047068702868899</v>
          </cell>
          <cell r="AV14">
            <v>20.807404107916799</v>
          </cell>
          <cell r="AW14">
            <v>21.108067227510301</v>
          </cell>
          <cell r="AX14">
            <v>21.978378848559199</v>
          </cell>
        </row>
        <row r="15">
          <cell r="AT15">
            <v>22</v>
          </cell>
          <cell r="AU15">
            <v>19.696035136399601</v>
          </cell>
          <cell r="AV15">
            <v>21.773024420528799</v>
          </cell>
          <cell r="AW15">
            <v>20.804465554529202</v>
          </cell>
          <cell r="AX15">
            <v>22.998341211205599</v>
          </cell>
        </row>
        <row r="16">
          <cell r="AT16">
            <v>23</v>
          </cell>
          <cell r="AU16">
            <v>20.807404107916799</v>
          </cell>
          <cell r="AV16">
            <v>22.882079039600601</v>
          </cell>
          <cell r="AW16">
            <v>21.978378848559199</v>
          </cell>
          <cell r="AX16">
            <v>24.169809908371501</v>
          </cell>
        </row>
        <row r="17">
          <cell r="AT17">
            <v>24</v>
          </cell>
          <cell r="AU17">
            <v>21.773024420528799</v>
          </cell>
          <cell r="AV17">
            <v>22.936746316967</v>
          </cell>
          <cell r="AW17">
            <v>22.998341211205599</v>
          </cell>
          <cell r="AX17">
            <v>24.311542907159801</v>
          </cell>
        </row>
        <row r="18">
          <cell r="AT18">
            <v>25</v>
          </cell>
          <cell r="AU18">
            <v>22.882079039600601</v>
          </cell>
          <cell r="AV18">
            <v>23.891411655188399</v>
          </cell>
          <cell r="AW18">
            <v>24.169809908371501</v>
          </cell>
          <cell r="AX18">
            <v>25.323429554525202</v>
          </cell>
        </row>
        <row r="19">
          <cell r="AT19">
            <v>26</v>
          </cell>
          <cell r="AU19">
            <v>22.936746316967</v>
          </cell>
          <cell r="AV19">
            <v>24.710099904203599</v>
          </cell>
          <cell r="AW19">
            <v>24.311542907159801</v>
          </cell>
          <cell r="AX19">
            <v>26.191188835570198</v>
          </cell>
        </row>
        <row r="20">
          <cell r="AT20">
            <v>27</v>
          </cell>
          <cell r="AU20">
            <v>23.891411655188399</v>
          </cell>
          <cell r="AV20">
            <v>25.497402805292602</v>
          </cell>
          <cell r="AW20">
            <v>25.323429554525202</v>
          </cell>
          <cell r="AX20">
            <v>27.025681574699298</v>
          </cell>
        </row>
        <row r="21">
          <cell r="AT21">
            <v>28</v>
          </cell>
          <cell r="AU21">
            <v>24.710099904203599</v>
          </cell>
          <cell r="AV21">
            <v>26.473607587029299</v>
          </cell>
          <cell r="AW21">
            <v>26.191188835570198</v>
          </cell>
          <cell r="AX21">
            <v>28.060398709788799</v>
          </cell>
        </row>
        <row r="22">
          <cell r="AT22">
            <v>29</v>
          </cell>
          <cell r="AU22">
            <v>25.497402805292602</v>
          </cell>
          <cell r="AV22">
            <v>26.253160412238302</v>
          </cell>
          <cell r="AW22">
            <v>27.025681574699298</v>
          </cell>
          <cell r="AX22">
            <v>27.932924514279801</v>
          </cell>
        </row>
        <row r="23">
          <cell r="AT23">
            <v>30</v>
          </cell>
          <cell r="AU23">
            <v>26.473607587029299</v>
          </cell>
          <cell r="AV23">
            <v>27.1351825800709</v>
          </cell>
          <cell r="AW23">
            <v>28.060398709788799</v>
          </cell>
          <cell r="AX23">
            <v>28.8713813799341</v>
          </cell>
        </row>
        <row r="24">
          <cell r="AT24">
            <v>31</v>
          </cell>
          <cell r="AU24">
            <v>26.253160412238302</v>
          </cell>
          <cell r="AV24">
            <v>28.2087426225795</v>
          </cell>
          <cell r="AW24">
            <v>27.932924514279801</v>
          </cell>
          <cell r="AX24">
            <v>30.013631347483201</v>
          </cell>
        </row>
        <row r="25">
          <cell r="AT25">
            <v>32</v>
          </cell>
          <cell r="AU25">
            <v>27.1351825800709</v>
          </cell>
          <cell r="AV25">
            <v>27.914974313942601</v>
          </cell>
          <cell r="AW25">
            <v>28.8713813799341</v>
          </cell>
          <cell r="AX25">
            <v>29.826860199185599</v>
          </cell>
        </row>
        <row r="26">
          <cell r="AT26">
            <v>33</v>
          </cell>
          <cell r="AU26">
            <v>28.2087426225795</v>
          </cell>
          <cell r="AV26">
            <v>29.058050030634</v>
          </cell>
          <cell r="AW26">
            <v>30.013631347483201</v>
          </cell>
          <cell r="AX26">
            <v>31.0482247333385</v>
          </cell>
        </row>
        <row r="27">
          <cell r="AT27">
            <v>34</v>
          </cell>
          <cell r="AU27">
            <v>27.914974313942601</v>
          </cell>
          <cell r="AV27">
            <v>28.514208523290499</v>
          </cell>
          <cell r="AW27">
            <v>29.826860199185599</v>
          </cell>
          <cell r="AX27">
            <v>30.6115513187221</v>
          </cell>
        </row>
        <row r="28">
          <cell r="AT28">
            <v>35</v>
          </cell>
          <cell r="AU28">
            <v>29.058050030634</v>
          </cell>
          <cell r="AV28">
            <v>29.353768547577801</v>
          </cell>
          <cell r="AW28">
            <v>31.0482247333385</v>
          </cell>
          <cell r="AX28">
            <v>31.512864597245201</v>
          </cell>
        </row>
        <row r="29">
          <cell r="AT29">
            <v>36</v>
          </cell>
          <cell r="AU29">
            <v>28.514208523290499</v>
          </cell>
          <cell r="AV29">
            <v>28.460403897778001</v>
          </cell>
          <cell r="AW29">
            <v>30.6115513187221</v>
          </cell>
          <cell r="AX29">
            <v>30.717398848894099</v>
          </cell>
        </row>
        <row r="30">
          <cell r="AT30">
            <v>37</v>
          </cell>
          <cell r="AU30">
            <v>29.353768547577801</v>
          </cell>
          <cell r="AV30">
            <v>27.180780726644699</v>
          </cell>
          <cell r="AW30">
            <v>31.512864597245201</v>
          </cell>
          <cell r="AX30">
            <v>29.516193490905401</v>
          </cell>
        </row>
        <row r="31">
          <cell r="AT31">
            <v>38</v>
          </cell>
          <cell r="AU31">
            <v>28.460403897778001</v>
          </cell>
          <cell r="AV31">
            <v>27.603670997023301</v>
          </cell>
          <cell r="AW31">
            <v>30.717398848894099</v>
          </cell>
          <cell r="AX31">
            <v>29.975419116962499</v>
          </cell>
        </row>
        <row r="32">
          <cell r="AT32">
            <v>39</v>
          </cell>
          <cell r="AU32">
            <v>27.180780726644699</v>
          </cell>
          <cell r="AV32">
            <v>26.070422503322298</v>
          </cell>
          <cell r="AW32">
            <v>29.516193490905401</v>
          </cell>
          <cell r="AX32">
            <v>28.511639591374401</v>
          </cell>
        </row>
        <row r="33">
          <cell r="AT33">
            <v>40</v>
          </cell>
          <cell r="AU33">
            <v>27.603670997023301</v>
          </cell>
          <cell r="AV33">
            <v>24.568872973299801</v>
          </cell>
          <cell r="AW33">
            <v>29.975419116962499</v>
          </cell>
          <cell r="AX33">
            <v>27.092743563868201</v>
          </cell>
        </row>
        <row r="34">
          <cell r="AT34">
            <v>41</v>
          </cell>
          <cell r="AU34">
            <v>26.070422503322298</v>
          </cell>
          <cell r="AV34">
            <v>22.919533352794002</v>
          </cell>
          <cell r="AW34">
            <v>28.511639591374401</v>
          </cell>
          <cell r="AX34">
            <v>25.522198040133201</v>
          </cell>
        </row>
        <row r="35">
          <cell r="AT35">
            <v>42</v>
          </cell>
          <cell r="AU35">
            <v>24.568872973299801</v>
          </cell>
          <cell r="AV35">
            <v>21.116461348662</v>
          </cell>
          <cell r="AW35">
            <v>27.092743563868201</v>
          </cell>
          <cell r="AX35">
            <v>23.7910593590939</v>
          </cell>
        </row>
        <row r="36">
          <cell r="AT36">
            <v>43</v>
          </cell>
          <cell r="AU36">
            <v>22.919533352794002</v>
          </cell>
          <cell r="AV36">
            <v>19.226252596333001</v>
          </cell>
          <cell r="AW36">
            <v>25.522198040133201</v>
          </cell>
          <cell r="AX36">
            <v>21.971687362448701</v>
          </cell>
        </row>
        <row r="37">
          <cell r="AT37">
            <v>44</v>
          </cell>
          <cell r="AU37">
            <v>21.116461348662</v>
          </cell>
          <cell r="AV37">
            <v>17.3098004762941</v>
          </cell>
          <cell r="AW37">
            <v>23.7910593590939</v>
          </cell>
          <cell r="AX37">
            <v>20.1324044343332</v>
          </cell>
        </row>
        <row r="38">
          <cell r="AT38">
            <v>45</v>
          </cell>
          <cell r="AU38">
            <v>19.226252596333001</v>
          </cell>
          <cell r="AV38">
            <v>15.294655803774999</v>
          </cell>
          <cell r="AW38">
            <v>21.971687362448701</v>
          </cell>
          <cell r="AX38">
            <v>18.188209266282801</v>
          </cell>
        </row>
        <row r="39">
          <cell r="AT39">
            <v>46</v>
          </cell>
          <cell r="AU39">
            <v>17.3098004762941</v>
          </cell>
          <cell r="AV39">
            <v>13.274118571797599</v>
          </cell>
          <cell r="AW39">
            <v>20.1324044343332</v>
          </cell>
          <cell r="AX39">
            <v>16.247962796916699</v>
          </cell>
        </row>
        <row r="40">
          <cell r="AT40">
            <v>47</v>
          </cell>
          <cell r="AU40">
            <v>15.294655803774999</v>
          </cell>
          <cell r="AV40">
            <v>11.133755380465001</v>
          </cell>
          <cell r="AW40">
            <v>18.188209266282801</v>
          </cell>
          <cell r="AX40">
            <v>14.170330740595601</v>
          </cell>
        </row>
        <row r="41">
          <cell r="AT41">
            <v>48</v>
          </cell>
          <cell r="AU41">
            <v>13.274118571797599</v>
          </cell>
          <cell r="AV41">
            <v>8.9971575525206298</v>
          </cell>
          <cell r="AW41">
            <v>16.247962796916699</v>
          </cell>
          <cell r="AX41">
            <v>12.1060200303702</v>
          </cell>
        </row>
        <row r="42">
          <cell r="AT42">
            <v>49</v>
          </cell>
          <cell r="AU42">
            <v>11.133755380465001</v>
          </cell>
          <cell r="AV42">
            <v>6.7570708267389499</v>
          </cell>
          <cell r="AW42">
            <v>14.170330740595601</v>
          </cell>
          <cell r="AX42">
            <v>9.9079820439443793</v>
          </cell>
        </row>
        <row r="43">
          <cell r="AT43">
            <v>50</v>
          </cell>
          <cell r="AU43">
            <v>8.9971575525206298</v>
          </cell>
          <cell r="AV43">
            <v>6.7686105792115399</v>
          </cell>
          <cell r="AW43">
            <v>12.1060200303702</v>
          </cell>
          <cell r="AX43">
            <v>9.9249029351443792</v>
          </cell>
        </row>
        <row r="44">
          <cell r="AT44">
            <v>51</v>
          </cell>
          <cell r="AU44">
            <v>6.7570708267389499</v>
          </cell>
          <cell r="AV44">
            <v>4.4698732486669597</v>
          </cell>
          <cell r="AW44">
            <v>9.9079820439443793</v>
          </cell>
          <cell r="AX44">
            <v>7.6285275099933996</v>
          </cell>
        </row>
        <row r="45">
          <cell r="AT45">
            <v>52</v>
          </cell>
          <cell r="AU45">
            <v>6.7686105792115399</v>
          </cell>
          <cell r="AV45">
            <v>4.4970292222311601</v>
          </cell>
          <cell r="AW45">
            <v>9.9249029351443792</v>
          </cell>
          <cell r="AX45">
            <v>7.67487336363856</v>
          </cell>
        </row>
        <row r="46">
          <cell r="AT46">
            <v>53</v>
          </cell>
          <cell r="AU46">
            <v>4.4698732486669597</v>
          </cell>
          <cell r="AV46">
            <v>2.2455227389497701</v>
          </cell>
          <cell r="AW46">
            <v>7.6285275099933996</v>
          </cell>
          <cell r="AX46">
            <v>5.4442172255909602</v>
          </cell>
        </row>
        <row r="47">
          <cell r="AT47">
            <v>54</v>
          </cell>
          <cell r="AU47">
            <v>4.4970292222311601</v>
          </cell>
          <cell r="AV47">
            <v>2.2346748030128101</v>
          </cell>
          <cell r="AW47">
            <v>7.67487336363856</v>
          </cell>
          <cell r="AX47">
            <v>5.4179166592837502</v>
          </cell>
        </row>
        <row r="48">
          <cell r="AT48">
            <v>55</v>
          </cell>
          <cell r="AU48">
            <v>2.2455227389497701</v>
          </cell>
          <cell r="AV48">
            <v>2.2266073849513899</v>
          </cell>
          <cell r="AW48">
            <v>5.4442172255909602</v>
          </cell>
          <cell r="AX48">
            <v>5.3983573933657603</v>
          </cell>
        </row>
        <row r="49">
          <cell r="AT49">
            <v>56</v>
          </cell>
          <cell r="AU49">
            <v>2.2346748030128101</v>
          </cell>
          <cell r="AV49">
            <v>2.2319791759886698</v>
          </cell>
          <cell r="AW49">
            <v>5.4179166592837502</v>
          </cell>
          <cell r="AX49">
            <v>5.4113811747731599</v>
          </cell>
        </row>
        <row r="50">
          <cell r="AT50">
            <v>57</v>
          </cell>
          <cell r="AU50">
            <v>2.2266073849513899</v>
          </cell>
          <cell r="AV50">
            <v>0</v>
          </cell>
          <cell r="AW50">
            <v>5.3983573933657603</v>
          </cell>
          <cell r="AX50">
            <v>3.1731454426656902</v>
          </cell>
        </row>
        <row r="51">
          <cell r="AT51">
            <v>58</v>
          </cell>
          <cell r="AU51">
            <v>2.2319791759886698</v>
          </cell>
          <cell r="AV51">
            <v>0</v>
          </cell>
          <cell r="AW51">
            <v>5.4113811747731599</v>
          </cell>
          <cell r="AX51">
            <v>2.6452207052579499</v>
          </cell>
        </row>
        <row r="52">
          <cell r="AT52">
            <v>59</v>
          </cell>
          <cell r="AU52">
            <v>0</v>
          </cell>
          <cell r="AV52">
            <v>0</v>
          </cell>
          <cell r="AW52">
            <v>3.1731454426656902</v>
          </cell>
          <cell r="AX52">
            <v>2.10991471956233</v>
          </cell>
        </row>
        <row r="53">
          <cell r="AT53">
            <v>60</v>
          </cell>
          <cell r="AU53">
            <v>0</v>
          </cell>
          <cell r="AV53">
            <v>0</v>
          </cell>
          <cell r="AW53">
            <v>2.6452207052579499</v>
          </cell>
          <cell r="AX53">
            <v>1.5726830720056999</v>
          </cell>
        </row>
        <row r="54">
          <cell r="AT54">
            <v>61</v>
          </cell>
          <cell r="AU54">
            <v>0</v>
          </cell>
          <cell r="AV54">
            <v>0</v>
          </cell>
          <cell r="AW54">
            <v>2.10991471956233</v>
          </cell>
          <cell r="AX54">
            <v>1.04010914751182</v>
          </cell>
        </row>
        <row r="55">
          <cell r="AT55">
            <v>62</v>
          </cell>
          <cell r="AU55">
            <v>0</v>
          </cell>
          <cell r="AV55">
            <v>0</v>
          </cell>
          <cell r="AW55">
            <v>1.5726830720056999</v>
          </cell>
          <cell r="AX55">
            <v>0.51576605906469897</v>
          </cell>
        </row>
        <row r="56">
          <cell r="AT56">
            <v>63</v>
          </cell>
          <cell r="AU56">
            <v>0</v>
          </cell>
          <cell r="AV56">
            <v>0</v>
          </cell>
          <cell r="AW56">
            <v>1.04010914751182</v>
          </cell>
          <cell r="AX56">
            <v>0</v>
          </cell>
        </row>
        <row r="57">
          <cell r="AT57">
            <v>64</v>
          </cell>
          <cell r="AU57">
            <v>0</v>
          </cell>
          <cell r="AV57">
            <v>0</v>
          </cell>
          <cell r="AW57">
            <v>0.51576605906469897</v>
          </cell>
          <cell r="AX57">
            <v>0</v>
          </cell>
        </row>
        <row r="58">
          <cell r="AT58">
            <v>65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T59">
            <v>65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"/>
  <sheetViews>
    <sheetView workbookViewId="0">
      <selection activeCell="E2" sqref="E2"/>
    </sheetView>
  </sheetViews>
  <sheetFormatPr defaultColWidth="9.140625" defaultRowHeight="12.75"/>
  <cols>
    <col min="1" max="1" width="6.7109375" customWidth="1"/>
    <col min="2" max="2" width="12.42578125" customWidth="1"/>
    <col min="3" max="3" width="16.85546875" customWidth="1"/>
    <col min="4" max="4" width="21.85546875" customWidth="1"/>
    <col min="5" max="5" width="14.5703125" customWidth="1"/>
    <col min="6" max="6" width="14.42578125" customWidth="1"/>
    <col min="7" max="7" width="10" customWidth="1"/>
    <col min="8" max="8" width="15.7109375" customWidth="1"/>
    <col min="9" max="9" width="16.28515625" customWidth="1"/>
    <col min="10" max="10" width="14.85546875" customWidth="1"/>
    <col min="11" max="11" width="20.5703125" customWidth="1"/>
    <col min="12" max="12" width="21.140625" customWidth="1"/>
    <col min="13" max="13" width="18.5703125" customWidth="1"/>
  </cols>
  <sheetData>
    <row r="1" spans="1:13">
      <c r="A1" t="s">
        <v>53</v>
      </c>
      <c r="B1" t="s">
        <v>14</v>
      </c>
      <c r="C1" t="s">
        <v>28</v>
      </c>
      <c r="D1" t="s">
        <v>85</v>
      </c>
      <c r="E1" t="s">
        <v>72</v>
      </c>
      <c r="F1" t="s">
        <v>26</v>
      </c>
      <c r="G1" t="s">
        <v>86</v>
      </c>
      <c r="H1" t="s">
        <v>47</v>
      </c>
      <c r="I1" t="s">
        <v>113</v>
      </c>
      <c r="J1" s="100" t="s">
        <v>29</v>
      </c>
      <c r="K1" s="100" t="s">
        <v>19</v>
      </c>
      <c r="L1" s="100" t="s">
        <v>65</v>
      </c>
      <c r="M1" s="100" t="s">
        <v>109</v>
      </c>
    </row>
    <row r="2" spans="1:13">
      <c r="A2">
        <f>input_Pensioengevend_Salaris*input_parttime_percentage%</f>
        <v>50000</v>
      </c>
      <c r="B2" s="5">
        <f>Nabestaandenpensioen!N18</f>
        <v>14656</v>
      </c>
      <c r="C2" s="5">
        <f>Nabestaandenpensioen!O18</f>
        <v>35344</v>
      </c>
      <c r="D2" s="5">
        <f>Nabestaandenpensioen!L4</f>
        <v>0</v>
      </c>
      <c r="E2" s="5">
        <f>Nabestaandenpensioen!J4</f>
        <v>0</v>
      </c>
      <c r="F2" s="5">
        <f>Nabestaandenpensioen!K4</f>
        <v>0</v>
      </c>
      <c r="G2" s="5">
        <f>Nabestaandenpensioen!M4</f>
        <v>0</v>
      </c>
      <c r="H2" s="5">
        <f>Nabestaandenpensioen!N4</f>
        <v>0</v>
      </c>
      <c r="I2" s="5">
        <f>Nabestaandenpensioen!O4</f>
        <v>0</v>
      </c>
      <c r="M2">
        <f>input_parttime_percentage</f>
        <v>100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Q30"/>
  <sheetViews>
    <sheetView tabSelected="1" topLeftCell="AI1" workbookViewId="0">
      <selection activeCell="AM2" sqref="AM2"/>
    </sheetView>
  </sheetViews>
  <sheetFormatPr defaultColWidth="27" defaultRowHeight="12.75"/>
  <cols>
    <col min="1" max="1" width="8.5703125" customWidth="1"/>
    <col min="2" max="2" width="15.28515625" customWidth="1"/>
    <col min="3" max="3" width="16.28515625" customWidth="1"/>
    <col min="4" max="4" width="13.7109375" customWidth="1"/>
    <col min="5" max="5" width="20" customWidth="1"/>
    <col min="6" max="6" width="15.140625" customWidth="1"/>
    <col min="7" max="7" width="16.140625" customWidth="1"/>
    <col min="8" max="8" width="15.140625" customWidth="1"/>
    <col min="9" max="9" width="16.28515625" customWidth="1"/>
    <col min="10" max="10" width="23.140625" customWidth="1"/>
    <col min="11" max="11" width="15.85546875" customWidth="1"/>
    <col min="12" max="12" width="21.7109375" customWidth="1"/>
  </cols>
  <sheetData>
    <row r="1" spans="1:43" s="3" customFormat="1">
      <c r="A1" s="4" t="s">
        <v>94</v>
      </c>
      <c r="B1" s="4" t="s">
        <v>50</v>
      </c>
      <c r="C1" s="4" t="s">
        <v>54</v>
      </c>
      <c r="D1" s="4" t="s">
        <v>130</v>
      </c>
      <c r="E1" s="4" t="s">
        <v>21</v>
      </c>
      <c r="F1" s="4" t="s">
        <v>32</v>
      </c>
      <c r="G1" s="4" t="s">
        <v>0</v>
      </c>
      <c r="H1" s="4" t="s">
        <v>111</v>
      </c>
      <c r="I1" s="4" t="s">
        <v>102</v>
      </c>
      <c r="J1" s="4" t="s">
        <v>87</v>
      </c>
      <c r="K1" s="4" t="s">
        <v>4</v>
      </c>
      <c r="L1" s="4" t="s">
        <v>14</v>
      </c>
      <c r="M1" s="4" t="s">
        <v>48</v>
      </c>
      <c r="N1" s="4" t="s">
        <v>28</v>
      </c>
      <c r="O1" s="4" t="s">
        <v>128</v>
      </c>
      <c r="P1" s="4" t="s">
        <v>84</v>
      </c>
      <c r="Q1" s="4" t="s">
        <v>105</v>
      </c>
      <c r="R1" s="3" t="s">
        <v>97</v>
      </c>
      <c r="S1" s="3" t="s">
        <v>101</v>
      </c>
      <c r="T1" s="3" t="s">
        <v>31</v>
      </c>
      <c r="U1" s="3" t="s">
        <v>36</v>
      </c>
      <c r="V1" s="3" t="s">
        <v>124</v>
      </c>
      <c r="W1" s="3" t="s">
        <v>139</v>
      </c>
      <c r="X1" s="3" t="s">
        <v>140</v>
      </c>
      <c r="Y1" s="3" t="s">
        <v>141</v>
      </c>
      <c r="Z1" s="3" t="s">
        <v>142</v>
      </c>
      <c r="AA1" s="3" t="s">
        <v>143</v>
      </c>
      <c r="AB1" s="3" t="s">
        <v>144</v>
      </c>
      <c r="AC1" s="3" t="s">
        <v>145</v>
      </c>
      <c r="AD1" s="3" t="s">
        <v>146</v>
      </c>
      <c r="AE1" s="3" t="s">
        <v>147</v>
      </c>
      <c r="AF1" s="3" t="s">
        <v>148</v>
      </c>
      <c r="AG1" s="3" t="s">
        <v>149</v>
      </c>
      <c r="AH1" s="3" t="s">
        <v>150</v>
      </c>
      <c r="AI1" s="3" t="s">
        <v>151</v>
      </c>
      <c r="AJ1" s="3" t="s">
        <v>152</v>
      </c>
      <c r="AK1" s="3" t="s">
        <v>153</v>
      </c>
      <c r="AL1" s="3" t="s">
        <v>154</v>
      </c>
      <c r="AM1" s="3" t="s">
        <v>165</v>
      </c>
      <c r="AN1" s="1" t="s">
        <v>125</v>
      </c>
      <c r="AO1" s="2" t="s">
        <v>162</v>
      </c>
      <c r="AP1" s="2" t="s">
        <v>163</v>
      </c>
      <c r="AQ1" s="2" t="s">
        <v>164</v>
      </c>
    </row>
    <row r="2" spans="1:43">
      <c r="A2" t="s">
        <v>155</v>
      </c>
      <c r="B2" s="171">
        <v>36526</v>
      </c>
      <c r="C2" s="171">
        <v>42552</v>
      </c>
      <c r="D2">
        <v>4200</v>
      </c>
      <c r="E2" s="173">
        <v>100</v>
      </c>
      <c r="F2">
        <v>58632</v>
      </c>
      <c r="G2" t="s">
        <v>156</v>
      </c>
      <c r="I2" s="171"/>
      <c r="J2">
        <v>0</v>
      </c>
      <c r="K2" s="171">
        <v>42751.604926445158</v>
      </c>
      <c r="L2" t="s">
        <v>157</v>
      </c>
      <c r="M2" s="173">
        <v>50000</v>
      </c>
      <c r="N2">
        <v>49999</v>
      </c>
      <c r="O2">
        <v>0</v>
      </c>
      <c r="P2">
        <v>65</v>
      </c>
      <c r="Q2" s="171"/>
      <c r="R2" s="171"/>
      <c r="S2" s="171"/>
      <c r="T2" s="171"/>
      <c r="U2" s="171"/>
      <c r="V2" t="s">
        <v>158</v>
      </c>
      <c r="W2" t="s">
        <v>159</v>
      </c>
      <c r="X2" t="s">
        <v>160</v>
      </c>
      <c r="Y2">
        <v>75</v>
      </c>
      <c r="Z2">
        <v>25</v>
      </c>
      <c r="AA2">
        <v>40</v>
      </c>
      <c r="AB2">
        <v>60</v>
      </c>
      <c r="AC2">
        <v>125</v>
      </c>
      <c r="AD2">
        <v>5000</v>
      </c>
      <c r="AE2">
        <v>1000</v>
      </c>
      <c r="AF2" t="s">
        <v>158</v>
      </c>
      <c r="AG2" t="s">
        <v>158</v>
      </c>
      <c r="AH2">
        <v>27</v>
      </c>
      <c r="AI2">
        <v>20</v>
      </c>
      <c r="AJ2">
        <v>1.2250000000000001</v>
      </c>
      <c r="AK2">
        <v>40</v>
      </c>
      <c r="AL2" t="s">
        <v>161</v>
      </c>
    </row>
    <row r="17" spans="32:32">
      <c r="AF17" s="184"/>
    </row>
    <row r="18" spans="32:32">
      <c r="AF18" s="184"/>
    </row>
    <row r="19" spans="32:32">
      <c r="AF19" s="184"/>
    </row>
    <row r="20" spans="32:32">
      <c r="AF20" s="185"/>
    </row>
    <row r="21" spans="32:32">
      <c r="AF21" s="185"/>
    </row>
    <row r="22" spans="32:32">
      <c r="AF22" s="184"/>
    </row>
    <row r="23" spans="32:32">
      <c r="AF23" s="185"/>
    </row>
    <row r="24" spans="32:32">
      <c r="AF24" s="185"/>
    </row>
    <row r="25" spans="32:32">
      <c r="AF25" s="185"/>
    </row>
    <row r="26" spans="32:32">
      <c r="AF26" s="185"/>
    </row>
    <row r="27" spans="32:32">
      <c r="AF27" s="185"/>
    </row>
    <row r="28" spans="32:32">
      <c r="AF28" s="185"/>
    </row>
    <row r="29" spans="32:32">
      <c r="AF29" s="185"/>
    </row>
    <row r="30" spans="32:32">
      <c r="AF30" s="185"/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F140"/>
  <sheetViews>
    <sheetView topLeftCell="D1" workbookViewId="0">
      <pane ySplit="17" topLeftCell="A18" activePane="bottomLeft" state="frozen"/>
      <selection activeCell="D1" sqref="D1"/>
      <selection pane="bottomLeft" activeCell="K18" sqref="K18"/>
    </sheetView>
  </sheetViews>
  <sheetFormatPr defaultColWidth="9.140625" defaultRowHeight="12.75"/>
  <cols>
    <col min="1" max="1" width="27.5703125" style="8" customWidth="1"/>
    <col min="2" max="2" width="12.7109375" style="8" customWidth="1"/>
    <col min="3" max="3" width="14.28515625" style="8" customWidth="1"/>
    <col min="4" max="4" width="5" style="8" customWidth="1"/>
    <col min="5" max="5" width="8.7109375" style="8" customWidth="1"/>
    <col min="6" max="6" width="10.42578125" style="8" customWidth="1"/>
    <col min="7" max="7" width="5.28515625" style="8" customWidth="1"/>
    <col min="8" max="8" width="11.85546875" style="8" customWidth="1"/>
    <col min="9" max="9" width="13.85546875" style="8" customWidth="1"/>
    <col min="10" max="10" width="11.5703125" style="8" customWidth="1"/>
    <col min="11" max="12" width="12.7109375" style="65" customWidth="1"/>
    <col min="13" max="13" width="12.5703125" style="65" customWidth="1"/>
    <col min="14" max="14" width="10" style="65" customWidth="1"/>
    <col min="15" max="15" width="10.7109375" style="65" customWidth="1"/>
    <col min="16" max="16" width="11.85546875" style="8" customWidth="1"/>
    <col min="17" max="17" width="14.5703125" style="8" customWidth="1"/>
    <col min="18" max="18" width="9" style="8" customWidth="1"/>
    <col min="19" max="19" width="13.85546875" style="8" customWidth="1"/>
    <col min="20" max="23" width="13.7109375" style="8" customWidth="1"/>
    <col min="24" max="24" width="9.28515625" style="8" customWidth="1"/>
    <col min="25" max="25" width="12.28515625" style="8" customWidth="1"/>
    <col min="26" max="26" width="12.140625" style="8" customWidth="1"/>
    <col min="27" max="27" width="13.7109375" style="8" customWidth="1"/>
    <col min="28" max="28" width="11" style="8" customWidth="1"/>
    <col min="29" max="29" width="10.140625" style="8" customWidth="1"/>
    <col min="30" max="30" width="13.7109375" style="8" customWidth="1"/>
    <col min="31" max="31" width="23.7109375" style="8" customWidth="1"/>
    <col min="32" max="32" width="5.42578125" style="8" customWidth="1"/>
    <col min="33" max="33" width="23.7109375" style="8" customWidth="1"/>
    <col min="34" max="34" width="6.28515625" style="8" customWidth="1"/>
    <col min="35" max="35" width="18" style="8" customWidth="1"/>
    <col min="36" max="36" width="7.85546875" style="8" customWidth="1"/>
    <col min="37" max="37" width="17" style="8" customWidth="1"/>
    <col min="38" max="38" width="18" style="8" customWidth="1"/>
    <col min="39" max="39" width="5.5703125" style="8" customWidth="1"/>
    <col min="40" max="40" width="18" style="8" customWidth="1"/>
    <col min="41" max="41" width="8.5703125" style="8" customWidth="1"/>
    <col min="42" max="42" width="18" style="8" customWidth="1"/>
    <col min="43" max="43" width="6.42578125" style="8" customWidth="1"/>
    <col min="44" max="44" width="18" style="8" customWidth="1"/>
    <col min="45" max="45" width="9.140625" style="8" customWidth="1"/>
    <col min="46" max="16384" width="9.140625" style="8"/>
  </cols>
  <sheetData>
    <row r="2" spans="1:29" ht="13.5" thickBot="1">
      <c r="A2" s="51" t="s">
        <v>136</v>
      </c>
      <c r="B2" s="64">
        <v>42370</v>
      </c>
      <c r="E2" s="55"/>
      <c r="F2" s="55"/>
      <c r="G2" s="55"/>
      <c r="J2" s="92" t="s">
        <v>121</v>
      </c>
      <c r="K2" s="84"/>
      <c r="L2" s="84"/>
      <c r="M2" s="84"/>
      <c r="N2" s="84" t="s">
        <v>60</v>
      </c>
      <c r="O2" s="84" t="s">
        <v>10</v>
      </c>
      <c r="P2" s="84" t="s">
        <v>124</v>
      </c>
      <c r="Q2" s="85"/>
      <c r="Z2" s="57"/>
      <c r="AB2" s="63"/>
    </row>
    <row r="3" spans="1:29" ht="13.5" thickBot="1">
      <c r="A3" s="51" t="s">
        <v>126</v>
      </c>
      <c r="B3" s="81">
        <v>46</v>
      </c>
      <c r="E3" s="60"/>
      <c r="F3" s="60"/>
      <c r="G3" s="60"/>
      <c r="J3" s="93" t="s">
        <v>23</v>
      </c>
      <c r="K3" s="86" t="s">
        <v>70</v>
      </c>
      <c r="L3" s="86" t="s">
        <v>35</v>
      </c>
      <c r="M3" s="86" t="s">
        <v>89</v>
      </c>
      <c r="N3" s="88">
        <v>1</v>
      </c>
      <c r="O3" s="88">
        <v>0</v>
      </c>
      <c r="P3" s="88" t="s">
        <v>39</v>
      </c>
      <c r="Q3" s="94"/>
    </row>
    <row r="4" spans="1:29" ht="13.5" thickBot="1">
      <c r="A4" s="51" t="s">
        <v>69</v>
      </c>
      <c r="B4" s="80">
        <v>1.1599999999999999E-2</v>
      </c>
      <c r="E4" s="60"/>
      <c r="F4" s="60"/>
      <c r="G4" s="60"/>
      <c r="J4" s="89">
        <f>IF(D18&gt;B8,0,IF($G$18=0,0,$P$18))</f>
        <v>0</v>
      </c>
      <c r="K4" s="89">
        <f>IF($D$18&gt;$B$8,0,IF(Wezenpensioen!$L$8=0,0,Wezenpensioen!S$15))</f>
        <v>0</v>
      </c>
      <c r="L4" s="89">
        <f>IF($D$18&gt;$B$8,0,IF($G$18=0,IF(Wezenpensioen!$L$8=0,0,Wezenpensioen!U$15),$S$18))</f>
        <v>0</v>
      </c>
      <c r="M4" s="89">
        <f>IF($D$18&gt;$B$8,0,IF($G$18=0,IF(Wezenpensioen!$L$8=0,0,Wezenpensioen!$AC$15),$AA$18))</f>
        <v>0</v>
      </c>
      <c r="N4" s="90">
        <f>M4*N3</f>
        <v>0</v>
      </c>
      <c r="O4" s="90">
        <f>M4*O3</f>
        <v>0</v>
      </c>
      <c r="P4" s="87"/>
      <c r="Q4" s="91"/>
    </row>
    <row r="5" spans="1:29" ht="13.5" thickBot="1">
      <c r="A5" s="51" t="s">
        <v>122</v>
      </c>
      <c r="B5" s="61" t="s">
        <v>56</v>
      </c>
      <c r="E5" s="60"/>
      <c r="F5" s="60"/>
      <c r="G5" s="60"/>
      <c r="J5" s="79"/>
      <c r="S5" s="9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3.5" thickBot="1">
      <c r="A6" s="51" t="s">
        <v>38</v>
      </c>
      <c r="B6" s="78">
        <v>0.2</v>
      </c>
      <c r="C6" s="55" t="s">
        <v>134</v>
      </c>
      <c r="S6" s="97"/>
    </row>
    <row r="7" spans="1:29" ht="13.5" thickBot="1">
      <c r="A7" s="51" t="s">
        <v>18</v>
      </c>
      <c r="B7" s="77">
        <v>27</v>
      </c>
      <c r="C7" s="55" t="s">
        <v>116</v>
      </c>
      <c r="I7" s="57"/>
      <c r="L7" s="174"/>
      <c r="M7" s="174"/>
      <c r="N7" s="67"/>
      <c r="S7" s="97"/>
    </row>
    <row r="8" spans="1:29" ht="13.5" thickBot="1">
      <c r="A8" s="51" t="s">
        <v>25</v>
      </c>
      <c r="B8" s="77">
        <v>67</v>
      </c>
      <c r="C8" s="55"/>
      <c r="L8" s="67"/>
      <c r="M8" s="67"/>
      <c r="N8" s="67"/>
      <c r="S8" s="97"/>
    </row>
    <row r="9" spans="1:29" s="178" customFormat="1" ht="13.5" thickBot="1">
      <c r="A9" s="175" t="s">
        <v>125</v>
      </c>
      <c r="B9" s="176">
        <v>101519</v>
      </c>
      <c r="C9" s="177"/>
      <c r="K9" s="179"/>
      <c r="L9" s="179"/>
      <c r="M9" s="179"/>
      <c r="N9" s="179"/>
      <c r="O9" s="179"/>
      <c r="R9" s="180"/>
      <c r="S9" s="180"/>
    </row>
    <row r="10" spans="1:29" ht="15.75" thickBot="1">
      <c r="A10" s="51" t="s">
        <v>123</v>
      </c>
      <c r="B10" s="59">
        <v>14656</v>
      </c>
      <c r="E10" s="55"/>
      <c r="F10" s="55"/>
      <c r="G10" s="55"/>
      <c r="L10" s="67"/>
      <c r="M10" s="67"/>
      <c r="N10" s="67"/>
      <c r="S10" s="98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ht="13.5" thickBot="1">
      <c r="A11" s="51" t="s">
        <v>24</v>
      </c>
      <c r="B11" s="62">
        <v>1</v>
      </c>
      <c r="E11" s="55"/>
      <c r="F11" s="55"/>
      <c r="G11" s="55"/>
      <c r="S11" s="97"/>
      <c r="V11" s="58"/>
      <c r="AB11" s="57"/>
    </row>
    <row r="12" spans="1:29" ht="13.5" thickBot="1">
      <c r="A12" s="51" t="s">
        <v>1</v>
      </c>
      <c r="B12" s="59">
        <v>1</v>
      </c>
      <c r="C12" s="56" t="s">
        <v>6</v>
      </c>
      <c r="D12" s="55"/>
      <c r="E12" s="55"/>
      <c r="F12" s="55"/>
      <c r="G12" s="55"/>
      <c r="S12" s="57">
        <f>ROUND(S18,2)</f>
        <v>0</v>
      </c>
    </row>
    <row r="13" spans="1:29" ht="13.5" thickBot="1">
      <c r="A13" s="51" t="s">
        <v>75</v>
      </c>
      <c r="B13" s="101">
        <v>48</v>
      </c>
      <c r="C13" s="82" t="s">
        <v>49</v>
      </c>
    </row>
    <row r="14" spans="1:29" ht="13.5" thickBot="1">
      <c r="A14" s="51" t="s">
        <v>75</v>
      </c>
      <c r="B14" s="101">
        <v>0</v>
      </c>
      <c r="C14" s="82" t="s">
        <v>57</v>
      </c>
      <c r="T14" s="186" t="s">
        <v>112</v>
      </c>
      <c r="U14" s="187"/>
      <c r="V14" s="50"/>
      <c r="X14" s="8" t="s">
        <v>23</v>
      </c>
      <c r="Y14" s="54" t="s">
        <v>138</v>
      </c>
      <c r="Z14" s="8" t="s">
        <v>64</v>
      </c>
      <c r="AA14" s="53" t="s">
        <v>67</v>
      </c>
      <c r="AB14" s="53" t="s">
        <v>20</v>
      </c>
      <c r="AC14" s="52"/>
    </row>
    <row r="15" spans="1:29" ht="13.5" thickBot="1">
      <c r="A15" s="51" t="s">
        <v>74</v>
      </c>
      <c r="B15" s="102">
        <v>0.1</v>
      </c>
      <c r="C15" s="56"/>
      <c r="T15" s="48" t="s">
        <v>89</v>
      </c>
      <c r="U15" s="47" t="s">
        <v>89</v>
      </c>
      <c r="V15" s="50" t="s">
        <v>132</v>
      </c>
      <c r="W15" s="8" t="s">
        <v>132</v>
      </c>
      <c r="X15" s="8" t="s">
        <v>42</v>
      </c>
      <c r="Y15" s="49" t="s">
        <v>80</v>
      </c>
      <c r="Z15" s="8" t="s">
        <v>92</v>
      </c>
      <c r="AA15" s="48" t="s">
        <v>58</v>
      </c>
      <c r="AB15" s="48" t="s">
        <v>71</v>
      </c>
      <c r="AC15" s="47" t="s">
        <v>83</v>
      </c>
    </row>
    <row r="16" spans="1:29">
      <c r="A16" s="82"/>
      <c r="B16" s="96"/>
      <c r="C16" s="82"/>
      <c r="T16" s="48" t="s">
        <v>58</v>
      </c>
      <c r="U16" s="47" t="s">
        <v>2</v>
      </c>
      <c r="V16" s="50"/>
      <c r="Y16" s="49"/>
      <c r="AA16" s="48"/>
      <c r="AB16" s="48"/>
      <c r="AC16" s="47"/>
    </row>
    <row r="17" spans="1:58" ht="13.5" thickBot="1">
      <c r="A17" s="99"/>
      <c r="B17" s="44" t="s">
        <v>27</v>
      </c>
      <c r="C17" s="44" t="s">
        <v>50</v>
      </c>
      <c r="D17" s="8" t="s">
        <v>104</v>
      </c>
      <c r="E17" s="44" t="s">
        <v>30</v>
      </c>
      <c r="F17" s="44" t="s">
        <v>98</v>
      </c>
      <c r="G17" s="44" t="s">
        <v>104</v>
      </c>
      <c r="H17" s="44" t="s">
        <v>52</v>
      </c>
      <c r="I17" s="44" t="s">
        <v>100</v>
      </c>
      <c r="J17" s="8" t="s">
        <v>114</v>
      </c>
      <c r="K17" s="76" t="s">
        <v>127</v>
      </c>
      <c r="L17" s="76" t="s">
        <v>82</v>
      </c>
      <c r="M17" s="76" t="s">
        <v>120</v>
      </c>
      <c r="N17" s="76" t="s">
        <v>46</v>
      </c>
      <c r="O17" s="76" t="s">
        <v>106</v>
      </c>
      <c r="P17" s="46" t="s">
        <v>23</v>
      </c>
      <c r="Q17" s="46" t="s">
        <v>90</v>
      </c>
      <c r="R17" s="44" t="s">
        <v>5</v>
      </c>
      <c r="S17" s="44" t="s">
        <v>40</v>
      </c>
      <c r="T17" s="43" t="s">
        <v>77</v>
      </c>
      <c r="U17" s="42" t="s">
        <v>77</v>
      </c>
      <c r="V17" s="44" t="s">
        <v>131</v>
      </c>
      <c r="W17" s="44" t="s">
        <v>43</v>
      </c>
      <c r="X17" s="44" t="s">
        <v>91</v>
      </c>
      <c r="Y17" s="45" t="s">
        <v>99</v>
      </c>
      <c r="Z17" s="44" t="s">
        <v>62</v>
      </c>
      <c r="AA17" s="43" t="s">
        <v>124</v>
      </c>
      <c r="AB17" s="43" t="s">
        <v>77</v>
      </c>
      <c r="AC17" s="42" t="s">
        <v>108</v>
      </c>
      <c r="AD17" s="44"/>
      <c r="AE17" s="44"/>
      <c r="AF17" s="44"/>
      <c r="AG17" s="44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</row>
    <row r="18" spans="1:58" ht="15">
      <c r="B18" s="83" t="str">
        <f>input_geslacht</f>
        <v>Man</v>
      </c>
      <c r="C18" s="41">
        <f>input_geboortedatum</f>
        <v>36526</v>
      </c>
      <c r="D18" s="39">
        <f>ROUNDDOWN(YEARFRAC(C18,B$2),0)</f>
        <v>16</v>
      </c>
      <c r="E18" s="83">
        <f>input_geslacht_partner</f>
        <v>0</v>
      </c>
      <c r="F18" s="40">
        <f>input_geboortedatum_partner</f>
        <v>0</v>
      </c>
      <c r="G18" s="39">
        <f>IF(F18&gt;0,ROUNDDOWN(YEARFRAC(F18,B$2),0),0)</f>
        <v>0</v>
      </c>
      <c r="H18" s="72">
        <f>input_datum_in_dienst</f>
        <v>42552</v>
      </c>
      <c r="I18" s="75">
        <f>DATE(YEAR(C18)+$B$8,MONTH(C18),DAY(1))</f>
        <v>60998</v>
      </c>
      <c r="J18" s="95">
        <f>MIN(ROUND(YEARFRAC(H18,I18),2),$B$3)</f>
        <v>46</v>
      </c>
      <c r="K18" s="71">
        <f>input_Pensioengevend_Salaris</f>
        <v>50000</v>
      </c>
      <c r="L18" s="73">
        <f>input_parttime_percentage/100</f>
        <v>1</v>
      </c>
      <c r="M18" s="70">
        <f>MIN($K$18,$B$9)*L18</f>
        <v>50000</v>
      </c>
      <c r="N18" s="70">
        <f>L18/1*$B$10</f>
        <v>14656</v>
      </c>
      <c r="O18" s="70">
        <f>M18-N18</f>
        <v>35344</v>
      </c>
      <c r="P18" s="38">
        <f>IF(E18=0,0,ROUND($B$4*MIN(J18,$B$3)*O18,2))</f>
        <v>0</v>
      </c>
      <c r="Q18" s="38">
        <f>IF(M4=0,0,B$6*P18)</f>
        <v>0</v>
      </c>
      <c r="R18" s="38">
        <f>IF(G18&gt;0,IF($B$7=21,R21,R20),0)</f>
        <v>0</v>
      </c>
      <c r="S18" s="38">
        <f>R18*P18</f>
        <v>0</v>
      </c>
      <c r="T18" s="38">
        <f>VLOOKUP(D18,geenpool,2)*S18/1000*(1+VLOOKUP(D18,VPOR,2)*VLOOKUP($B$11,Cluster,2))*(1+VLOOKUP(B$12,betalingstermijn,2))</f>
        <v>0</v>
      </c>
      <c r="U18" s="38">
        <f>VLOOKUP(D18,pooltar,2)*S18/1000*(1+VLOOKUP(D18,VPOR,2)*VLOOKUP($B$11,Cluster,2))*(1+VLOOKUP(B$12,betalingstermijn,2))</f>
        <v>0</v>
      </c>
      <c r="V18" s="38">
        <v>0</v>
      </c>
      <c r="W18" s="38">
        <v>0</v>
      </c>
      <c r="X18" s="38">
        <f>IF(S18&gt;0,Opslag,0)</f>
        <v>0</v>
      </c>
      <c r="Y18" s="38">
        <f>VLOOKUP($D18,pooltar,2)*$S18/1000*(1+VLOOKUP($B$12,betalingstermijn,2))</f>
        <v>0</v>
      </c>
      <c r="Z18" s="38">
        <f>prudent*VLOOKUP(D18,pooltar,2)*S18/1000*(1+VLOOKUP(B$12,betalingstermijn,2))</f>
        <v>0</v>
      </c>
      <c r="AA18" s="38">
        <f>T18+V18+X18</f>
        <v>0</v>
      </c>
      <c r="AB18" s="38">
        <f>U18+W18+X18</f>
        <v>0</v>
      </c>
      <c r="AC18" s="38">
        <f>AB18-Z18</f>
        <v>0</v>
      </c>
      <c r="AD18" s="38"/>
      <c r="AE18" s="66"/>
      <c r="AF18" s="66"/>
      <c r="AG18" s="66"/>
      <c r="AH18" s="6"/>
      <c r="AI18" s="7"/>
      <c r="AJ18" s="66"/>
      <c r="AK18" s="66"/>
      <c r="AL18" s="7"/>
      <c r="AM18" s="66"/>
      <c r="AN18" s="7"/>
      <c r="AO18" s="66"/>
      <c r="AP18" s="7"/>
      <c r="AQ18" s="66"/>
      <c r="AR18" s="7"/>
      <c r="AS18" s="66"/>
      <c r="AT18" s="66"/>
    </row>
    <row r="19" spans="1:58" ht="15">
      <c r="A19" s="50"/>
      <c r="B19" s="41"/>
      <c r="C19" s="41"/>
      <c r="D19" s="74"/>
      <c r="E19" s="41"/>
      <c r="F19" s="40"/>
      <c r="G19" s="39"/>
      <c r="H19" s="72"/>
      <c r="I19" s="72"/>
      <c r="J19" s="38"/>
      <c r="K19" s="71"/>
      <c r="L19" s="73"/>
      <c r="M19" s="70"/>
      <c r="N19" s="70"/>
      <c r="O19" s="7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66"/>
      <c r="AF19" s="66"/>
      <c r="AG19" s="66"/>
      <c r="AH19" s="6"/>
      <c r="AI19" s="7"/>
      <c r="AJ19" s="66"/>
      <c r="AK19" s="66"/>
      <c r="AL19" s="7"/>
      <c r="AM19" s="66"/>
      <c r="AN19" s="7"/>
      <c r="AO19" s="66"/>
      <c r="AP19" s="7"/>
      <c r="AQ19" s="66"/>
      <c r="AR19" s="7"/>
      <c r="AS19" s="66"/>
      <c r="AT19" s="66"/>
    </row>
    <row r="20" spans="1:58" ht="15">
      <c r="A20" s="50"/>
      <c r="B20" s="41"/>
      <c r="C20" s="41"/>
      <c r="D20" s="39"/>
      <c r="E20" s="41"/>
      <c r="F20" s="40"/>
      <c r="G20" s="39"/>
      <c r="H20" s="72"/>
      <c r="I20" s="72"/>
      <c r="J20" s="38"/>
      <c r="K20" s="71"/>
      <c r="L20" s="73"/>
      <c r="M20" s="70"/>
      <c r="N20" s="70"/>
      <c r="O20" s="70"/>
      <c r="P20" s="38"/>
      <c r="Q20" s="95">
        <v>27</v>
      </c>
      <c r="R20" s="38">
        <f>IF(G18&gt;0,VLOOKUP($G$18,Tabellen!$E$6:$F$66,2),0)</f>
        <v>0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69"/>
      <c r="AF20" s="69"/>
      <c r="AG20" s="69"/>
      <c r="AH20" s="6"/>
      <c r="AI20" s="7"/>
      <c r="AJ20" s="66"/>
      <c r="AK20" s="69"/>
      <c r="AL20" s="7"/>
      <c r="AM20" s="66"/>
      <c r="AN20" s="7"/>
      <c r="AO20" s="66"/>
      <c r="AP20" s="7"/>
      <c r="AQ20" s="66"/>
      <c r="AR20" s="7"/>
      <c r="AS20" s="66"/>
      <c r="AT20" s="69"/>
      <c r="AU20" s="68"/>
      <c r="AV20" s="68"/>
      <c r="AW20" s="68"/>
      <c r="AX20" s="68"/>
      <c r="AY20" s="68"/>
      <c r="AZ20" s="68"/>
      <c r="BA20" s="68"/>
    </row>
    <row r="21" spans="1:58" ht="15">
      <c r="A21" s="50"/>
      <c r="B21" s="41"/>
      <c r="C21" s="41"/>
      <c r="D21" s="39"/>
      <c r="E21" s="41"/>
      <c r="F21" s="40"/>
      <c r="G21" s="39"/>
      <c r="H21" s="72"/>
      <c r="I21" s="72"/>
      <c r="J21" s="38"/>
      <c r="K21" s="71"/>
      <c r="L21" s="73"/>
      <c r="M21" s="70"/>
      <c r="N21" s="70"/>
      <c r="O21" s="70"/>
      <c r="P21" s="38"/>
      <c r="Q21" s="95">
        <v>21</v>
      </c>
      <c r="R21" s="38">
        <f>IF(G18&gt;0,VLOOKUP($G$18,Tabellen!$B$6:$C$66,2),0)</f>
        <v>0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66"/>
      <c r="AF21" s="66"/>
      <c r="AG21" s="66"/>
      <c r="AH21" s="6"/>
      <c r="AI21" s="7"/>
      <c r="AJ21" s="66"/>
      <c r="AK21" s="66"/>
      <c r="AL21" s="7"/>
      <c r="AM21" s="66"/>
      <c r="AN21" s="7"/>
      <c r="AO21" s="66"/>
      <c r="AP21" s="7"/>
      <c r="AQ21" s="66"/>
      <c r="AR21" s="7"/>
      <c r="AS21" s="66"/>
      <c r="AT21" s="66"/>
    </row>
    <row r="22" spans="1:58" ht="15">
      <c r="A22" s="50"/>
      <c r="B22" s="41"/>
      <c r="C22" s="41"/>
      <c r="D22" s="39"/>
      <c r="E22" s="41"/>
      <c r="F22" s="40"/>
      <c r="G22" s="39"/>
      <c r="H22" s="72"/>
      <c r="I22" s="72"/>
      <c r="J22" s="38"/>
      <c r="K22" s="71"/>
      <c r="L22" s="73"/>
      <c r="M22" s="70"/>
      <c r="N22" s="70"/>
      <c r="O22" s="7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66"/>
      <c r="AF22" s="66"/>
      <c r="AG22" s="66"/>
      <c r="AH22" s="6"/>
      <c r="AI22" s="7"/>
      <c r="AJ22" s="66"/>
      <c r="AK22" s="66"/>
      <c r="AL22" s="7"/>
      <c r="AM22" s="66"/>
      <c r="AN22" s="7"/>
      <c r="AO22" s="66"/>
      <c r="AP22" s="7"/>
      <c r="AQ22" s="66"/>
      <c r="AR22" s="7"/>
      <c r="AS22" s="66"/>
      <c r="AT22" s="66"/>
      <c r="BB22" s="68"/>
      <c r="BC22" s="68"/>
      <c r="BD22" s="68"/>
      <c r="BE22" s="68"/>
      <c r="BF22" s="68"/>
    </row>
    <row r="23" spans="1:58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7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</row>
    <row r="24" spans="1:58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67"/>
      <c r="M24" s="67"/>
      <c r="N24" s="67"/>
      <c r="O24" s="67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</row>
    <row r="25" spans="1:58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67"/>
      <c r="M25" s="67"/>
      <c r="N25" s="67"/>
      <c r="O25" s="67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</row>
    <row r="26" spans="1:58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67"/>
      <c r="M26" s="67"/>
      <c r="N26" s="67"/>
      <c r="O26" s="67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</row>
    <row r="27" spans="1:58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7"/>
      <c r="L27" s="67"/>
      <c r="M27" s="67"/>
      <c r="N27" s="67"/>
      <c r="O27" s="67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</row>
    <row r="28" spans="1:58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67"/>
      <c r="M28" s="67"/>
      <c r="N28" s="67"/>
      <c r="O28" s="67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</row>
    <row r="29" spans="1:58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67"/>
      <c r="M29" s="67"/>
      <c r="N29" s="67"/>
      <c r="O29" s="67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</row>
    <row r="30" spans="1:58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7"/>
      <c r="L30" s="67"/>
      <c r="M30" s="67"/>
      <c r="N30" s="67"/>
      <c r="O30" s="67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</row>
    <row r="31" spans="1:58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</row>
    <row r="32" spans="1:58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7"/>
      <c r="M32" s="67"/>
      <c r="N32" s="67"/>
      <c r="O32" s="67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</row>
    <row r="33" spans="1:46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7"/>
      <c r="M33" s="67"/>
      <c r="N33" s="67"/>
      <c r="O33" s="67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</row>
    <row r="34" spans="1:46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7"/>
      <c r="M34" s="67"/>
      <c r="N34" s="67"/>
      <c r="O34" s="67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</row>
    <row r="35" spans="1:46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67"/>
      <c r="M35" s="67"/>
      <c r="N35" s="67"/>
      <c r="O35" s="67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</row>
    <row r="36" spans="1:46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7"/>
      <c r="M36" s="67"/>
      <c r="N36" s="67"/>
      <c r="O36" s="67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</row>
    <row r="37" spans="1:46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7"/>
      <c r="M37" s="67"/>
      <c r="N37" s="67"/>
      <c r="O37" s="67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</row>
    <row r="38" spans="1:46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67"/>
      <c r="M38" s="67"/>
      <c r="N38" s="67"/>
      <c r="O38" s="67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</row>
    <row r="39" spans="1:46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7"/>
      <c r="M39" s="67"/>
      <c r="N39" s="67"/>
      <c r="O39" s="67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</row>
    <row r="40" spans="1:46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7"/>
      <c r="O40" s="67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</row>
    <row r="41" spans="1:46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67"/>
      <c r="M41" s="67"/>
      <c r="N41" s="67"/>
      <c r="O41" s="67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</row>
    <row r="42" spans="1:46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67"/>
      <c r="M42" s="67"/>
      <c r="N42" s="67"/>
      <c r="O42" s="6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</row>
    <row r="43" spans="1:46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67"/>
      <c r="M43" s="67"/>
      <c r="N43" s="67"/>
      <c r="O43" s="6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</row>
    <row r="44" spans="1:46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7"/>
      <c r="M44" s="67"/>
      <c r="N44" s="67"/>
      <c r="O44" s="67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</row>
    <row r="45" spans="1:46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7"/>
      <c r="M45" s="67"/>
      <c r="N45" s="67"/>
      <c r="O45" s="67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</row>
    <row r="46" spans="1:46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67"/>
      <c r="M46" s="67"/>
      <c r="N46" s="67"/>
      <c r="O46" s="67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</row>
    <row r="47" spans="1:46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7"/>
      <c r="L47" s="67"/>
      <c r="M47" s="67"/>
      <c r="N47" s="67"/>
      <c r="O47" s="67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</row>
    <row r="48" spans="1:46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67"/>
      <c r="M48" s="67"/>
      <c r="N48" s="67"/>
      <c r="O48" s="67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</row>
    <row r="49" spans="1:46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7"/>
      <c r="L49" s="67"/>
      <c r="M49" s="67"/>
      <c r="N49" s="67"/>
      <c r="O49" s="67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</row>
    <row r="50" spans="1:46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7"/>
      <c r="L50" s="67"/>
      <c r="M50" s="67"/>
      <c r="N50" s="67"/>
      <c r="O50" s="67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</row>
    <row r="51" spans="1:46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7"/>
      <c r="L51" s="67"/>
      <c r="M51" s="67"/>
      <c r="N51" s="67"/>
      <c r="O51" s="67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</row>
    <row r="52" spans="1:46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7"/>
      <c r="L52" s="67"/>
      <c r="M52" s="67"/>
      <c r="N52" s="67"/>
      <c r="O52" s="67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</row>
    <row r="53" spans="1:46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7"/>
      <c r="L53" s="67"/>
      <c r="M53" s="67"/>
      <c r="N53" s="67"/>
      <c r="O53" s="67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</row>
    <row r="54" spans="1:46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7"/>
      <c r="L54" s="67"/>
      <c r="M54" s="67"/>
      <c r="N54" s="67"/>
      <c r="O54" s="67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</row>
    <row r="55" spans="1:46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67"/>
      <c r="M55" s="67"/>
      <c r="N55" s="67"/>
      <c r="O55" s="67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</row>
    <row r="56" spans="1:46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7"/>
      <c r="L56" s="67"/>
      <c r="M56" s="67"/>
      <c r="N56" s="67"/>
      <c r="O56" s="67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</row>
    <row r="57" spans="1:46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7"/>
      <c r="L57" s="67"/>
      <c r="M57" s="67"/>
      <c r="N57" s="67"/>
      <c r="O57" s="67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  <row r="58" spans="1:46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67"/>
      <c r="M58" s="67"/>
      <c r="N58" s="67"/>
      <c r="O58" s="67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</row>
    <row r="59" spans="1:46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7"/>
      <c r="L59" s="67"/>
      <c r="M59" s="67"/>
      <c r="N59" s="67"/>
      <c r="O59" s="67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</row>
    <row r="60" spans="1:46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7"/>
      <c r="L60" s="67"/>
      <c r="M60" s="67"/>
      <c r="N60" s="67"/>
      <c r="O60" s="67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</row>
    <row r="61" spans="1:46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7"/>
      <c r="L61" s="67"/>
      <c r="M61" s="67"/>
      <c r="N61" s="67"/>
      <c r="O61" s="67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</row>
    <row r="62" spans="1:46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7"/>
      <c r="L62" s="67"/>
      <c r="M62" s="67"/>
      <c r="N62" s="67"/>
      <c r="O62" s="67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</row>
    <row r="63" spans="1:46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7"/>
      <c r="L63" s="67"/>
      <c r="M63" s="67"/>
      <c r="N63" s="67"/>
      <c r="O63" s="67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</row>
    <row r="64" spans="1:46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7"/>
      <c r="L64" s="67"/>
      <c r="M64" s="67"/>
      <c r="N64" s="67"/>
      <c r="O64" s="67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</row>
    <row r="65" spans="1:46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7"/>
      <c r="L65" s="67"/>
      <c r="M65" s="67"/>
      <c r="N65" s="67"/>
      <c r="O65" s="67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</row>
    <row r="66" spans="1:46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7"/>
      <c r="L66" s="67"/>
      <c r="M66" s="67"/>
      <c r="N66" s="67"/>
      <c r="O66" s="67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</row>
    <row r="67" spans="1:46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7"/>
      <c r="M67" s="67"/>
      <c r="N67" s="67"/>
      <c r="O67" s="67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</row>
    <row r="68" spans="1:46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7"/>
      <c r="L68" s="67"/>
      <c r="M68" s="67"/>
      <c r="N68" s="67"/>
      <c r="O68" s="67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</row>
    <row r="69" spans="1:46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7"/>
      <c r="L69" s="67"/>
      <c r="M69" s="67"/>
      <c r="N69" s="67"/>
      <c r="O69" s="67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</row>
    <row r="70" spans="1:46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7"/>
      <c r="L70" s="67"/>
      <c r="M70" s="67"/>
      <c r="N70" s="67"/>
      <c r="O70" s="67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</row>
    <row r="71" spans="1:46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7"/>
      <c r="L71" s="67"/>
      <c r="M71" s="67"/>
      <c r="N71" s="67"/>
      <c r="O71" s="67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</row>
    <row r="72" spans="1:46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7"/>
      <c r="L72" s="67"/>
      <c r="M72" s="67"/>
      <c r="N72" s="67"/>
      <c r="O72" s="67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</row>
    <row r="73" spans="1:46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7"/>
      <c r="L73" s="67"/>
      <c r="M73" s="67"/>
      <c r="N73" s="67"/>
      <c r="O73" s="67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</row>
    <row r="74" spans="1:46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</row>
    <row r="75" spans="1:46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7"/>
      <c r="L75" s="67"/>
      <c r="M75" s="67"/>
      <c r="N75" s="67"/>
      <c r="O75" s="67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</row>
    <row r="76" spans="1:46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7"/>
      <c r="L76" s="67"/>
      <c r="M76" s="67"/>
      <c r="N76" s="67"/>
      <c r="O76" s="67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</row>
    <row r="77" spans="1:46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7"/>
      <c r="L77" s="67"/>
      <c r="M77" s="67"/>
      <c r="N77" s="67"/>
      <c r="O77" s="67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</row>
    <row r="78" spans="1:46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7"/>
      <c r="L78" s="67"/>
      <c r="M78" s="67"/>
      <c r="N78" s="67"/>
      <c r="O78" s="67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</row>
    <row r="79" spans="1:46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7"/>
      <c r="L79" s="67"/>
      <c r="M79" s="67"/>
      <c r="N79" s="67"/>
      <c r="O79" s="67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</row>
    <row r="80" spans="1:46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7"/>
      <c r="L80" s="67"/>
      <c r="M80" s="67"/>
      <c r="N80" s="67"/>
      <c r="O80" s="67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</row>
    <row r="81" spans="1:46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7"/>
      <c r="L81" s="67"/>
      <c r="M81" s="67"/>
      <c r="N81" s="67"/>
      <c r="O81" s="67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</row>
    <row r="82" spans="1:46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7"/>
      <c r="L82" s="67"/>
      <c r="M82" s="67"/>
      <c r="N82" s="67"/>
      <c r="O82" s="67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</row>
    <row r="83" spans="1:46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7"/>
      <c r="L83" s="67"/>
      <c r="M83" s="67"/>
      <c r="N83" s="67"/>
      <c r="O83" s="67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</row>
    <row r="84" spans="1:46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7"/>
      <c r="L84" s="67"/>
      <c r="M84" s="67"/>
      <c r="N84" s="67"/>
      <c r="O84" s="67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</row>
    <row r="85" spans="1:46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7"/>
      <c r="L85" s="67"/>
      <c r="M85" s="67"/>
      <c r="N85" s="67"/>
      <c r="O85" s="67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</row>
    <row r="86" spans="1:46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7"/>
      <c r="L86" s="67"/>
      <c r="M86" s="67"/>
      <c r="N86" s="67"/>
      <c r="O86" s="67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</row>
    <row r="87" spans="1:46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67"/>
      <c r="M87" s="67"/>
      <c r="N87" s="67"/>
      <c r="O87" s="67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</row>
    <row r="88" spans="1:46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7"/>
      <c r="L88" s="67"/>
      <c r="M88" s="67"/>
      <c r="N88" s="67"/>
      <c r="O88" s="67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</row>
    <row r="89" spans="1:46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7"/>
      <c r="L89" s="67"/>
      <c r="M89" s="67"/>
      <c r="N89" s="67"/>
      <c r="O89" s="67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</row>
    <row r="90" spans="1:46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7"/>
      <c r="L90" s="67"/>
      <c r="M90" s="67"/>
      <c r="N90" s="67"/>
      <c r="O90" s="67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</row>
    <row r="91" spans="1:46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</row>
    <row r="92" spans="1:46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7"/>
      <c r="L92" s="67"/>
      <c r="M92" s="67"/>
      <c r="N92" s="67"/>
      <c r="O92" s="67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</row>
    <row r="93" spans="1:46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7"/>
      <c r="L93" s="67"/>
      <c r="M93" s="67"/>
      <c r="N93" s="67"/>
      <c r="O93" s="67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</row>
    <row r="94" spans="1:46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7"/>
      <c r="L94" s="67"/>
      <c r="M94" s="67"/>
      <c r="N94" s="67"/>
      <c r="O94" s="67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</row>
    <row r="95" spans="1:46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7"/>
      <c r="L95" s="67"/>
      <c r="M95" s="67"/>
      <c r="N95" s="67"/>
      <c r="O95" s="67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</row>
    <row r="96" spans="1:46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7"/>
      <c r="L96" s="67"/>
      <c r="M96" s="67"/>
      <c r="N96" s="67"/>
      <c r="O96" s="67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</row>
    <row r="97" spans="1:46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7"/>
      <c r="L97" s="67"/>
      <c r="M97" s="67"/>
      <c r="N97" s="67"/>
      <c r="O97" s="67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</row>
    <row r="98" spans="1:46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7"/>
      <c r="L98" s="67"/>
      <c r="M98" s="67"/>
      <c r="N98" s="67"/>
      <c r="O98" s="67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</row>
    <row r="99" spans="1:46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7"/>
      <c r="L99" s="67"/>
      <c r="M99" s="67"/>
      <c r="N99" s="67"/>
      <c r="O99" s="67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</row>
    <row r="100" spans="1:46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7"/>
      <c r="L100" s="67"/>
      <c r="M100" s="67"/>
      <c r="N100" s="67"/>
      <c r="O100" s="67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</row>
    <row r="101" spans="1:46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7"/>
      <c r="L101" s="67"/>
      <c r="M101" s="67"/>
      <c r="N101" s="67"/>
      <c r="O101" s="67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</row>
    <row r="102" spans="1:46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7"/>
      <c r="L102" s="67"/>
      <c r="M102" s="67"/>
      <c r="N102" s="67"/>
      <c r="O102" s="67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</row>
    <row r="103" spans="1:46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7"/>
      <c r="L103" s="67"/>
      <c r="M103" s="67"/>
      <c r="N103" s="67"/>
      <c r="O103" s="67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</row>
    <row r="104" spans="1:46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7"/>
      <c r="L104" s="67"/>
      <c r="M104" s="67"/>
      <c r="N104" s="67"/>
      <c r="O104" s="67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</row>
    <row r="105" spans="1:46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7"/>
      <c r="L105" s="67"/>
      <c r="M105" s="67"/>
      <c r="N105" s="67"/>
      <c r="O105" s="67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</row>
    <row r="106" spans="1:46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7"/>
      <c r="L106" s="67"/>
      <c r="M106" s="67"/>
      <c r="N106" s="67"/>
      <c r="O106" s="67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</row>
    <row r="107" spans="1:46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7"/>
      <c r="L107" s="67"/>
      <c r="M107" s="67"/>
      <c r="N107" s="67"/>
      <c r="O107" s="67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</row>
    <row r="108" spans="1:46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7"/>
      <c r="L108" s="67"/>
      <c r="M108" s="67"/>
      <c r="N108" s="67"/>
      <c r="O108" s="67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</row>
    <row r="109" spans="1:46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7"/>
      <c r="L109" s="67"/>
      <c r="M109" s="67"/>
      <c r="N109" s="67"/>
      <c r="O109" s="67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</row>
    <row r="110" spans="1:46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7"/>
      <c r="L110" s="67"/>
      <c r="M110" s="67"/>
      <c r="N110" s="67"/>
      <c r="O110" s="67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</row>
    <row r="111" spans="1:46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7"/>
      <c r="L111" s="67"/>
      <c r="M111" s="67"/>
      <c r="N111" s="67"/>
      <c r="O111" s="67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</row>
    <row r="112" spans="1:46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7"/>
      <c r="L112" s="67"/>
      <c r="M112" s="67"/>
      <c r="N112" s="67"/>
      <c r="O112" s="67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</row>
    <row r="113" spans="1:46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7"/>
      <c r="L113" s="67"/>
      <c r="M113" s="67"/>
      <c r="N113" s="67"/>
      <c r="O113" s="67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</row>
    <row r="114" spans="1:46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7"/>
      <c r="L114" s="67"/>
      <c r="M114" s="67"/>
      <c r="N114" s="67"/>
      <c r="O114" s="67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</row>
    <row r="115" spans="1:46"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</row>
    <row r="116" spans="1:46"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</row>
    <row r="117" spans="1:46"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</row>
    <row r="118" spans="1:46"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</row>
    <row r="119" spans="1:46"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</row>
    <row r="120" spans="1:46"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</row>
    <row r="121" spans="1:46"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</row>
    <row r="122" spans="1:46"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</row>
    <row r="123" spans="1:46"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</row>
    <row r="124" spans="1:46"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</row>
    <row r="125" spans="1:46"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</row>
    <row r="126" spans="1:46"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</row>
    <row r="127" spans="1:46"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</row>
    <row r="128" spans="1:46"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</row>
    <row r="129" spans="34:45"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</row>
    <row r="130" spans="34:45"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</row>
    <row r="131" spans="34:45"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</row>
    <row r="132" spans="34:45"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</row>
    <row r="133" spans="34:45"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</row>
    <row r="134" spans="34:45"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</row>
    <row r="135" spans="34:45"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</row>
    <row r="136" spans="34:45"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</row>
    <row r="137" spans="34:45"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</row>
    <row r="138" spans="34:45"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</row>
    <row r="139" spans="34:45"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</row>
    <row r="140" spans="34:45"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</row>
  </sheetData>
  <mergeCells count="1">
    <mergeCell ref="T14:U14"/>
  </mergeCells>
  <printOptions gridLines="1"/>
  <pageMargins left="0.196850393700787" right="0.196850393700787" top="0.98425196850393704" bottom="0.98425196850393704" header="0.511811023622047" footer="0.511811023622047"/>
  <pageSetup paperSize="9" scale="10" fitToHeight="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5"/>
  <sheetViews>
    <sheetView workbookViewId="0">
      <selection activeCell="O15" sqref="O15"/>
    </sheetView>
  </sheetViews>
  <sheetFormatPr defaultColWidth="9.140625" defaultRowHeight="12.75"/>
  <cols>
    <col min="13" max="13" width="9.85546875" customWidth="1"/>
    <col min="15" max="15" width="12.42578125" customWidth="1"/>
    <col min="18" max="18" width="12.42578125" customWidth="1"/>
    <col min="19" max="19" width="11" customWidth="1"/>
    <col min="21" max="21" width="11.7109375" customWidth="1"/>
    <col min="277" max="277" width="11.7109375" customWidth="1"/>
    <col min="533" max="533" width="11.7109375" customWidth="1"/>
    <col min="789" max="789" width="11.7109375" customWidth="1"/>
    <col min="1045" max="1045" width="11.7109375" customWidth="1"/>
    <col min="1301" max="1301" width="11.7109375" customWidth="1"/>
    <col min="1557" max="1557" width="11.7109375" customWidth="1"/>
    <col min="1813" max="1813" width="11.7109375" customWidth="1"/>
    <col min="2069" max="2069" width="11.7109375" customWidth="1"/>
    <col min="2325" max="2325" width="11.7109375" customWidth="1"/>
    <col min="2581" max="2581" width="11.7109375" customWidth="1"/>
    <col min="2837" max="2837" width="11.7109375" customWidth="1"/>
    <col min="3093" max="3093" width="11.7109375" customWidth="1"/>
    <col min="3349" max="3349" width="11.7109375" customWidth="1"/>
    <col min="3605" max="3605" width="11.7109375" customWidth="1"/>
    <col min="3861" max="3861" width="11.7109375" customWidth="1"/>
    <col min="4117" max="4117" width="11.7109375" customWidth="1"/>
    <col min="4373" max="4373" width="11.7109375" customWidth="1"/>
    <col min="4629" max="4629" width="11.7109375" customWidth="1"/>
    <col min="4885" max="4885" width="11.7109375" customWidth="1"/>
    <col min="5141" max="5141" width="11.7109375" customWidth="1"/>
    <col min="5397" max="5397" width="11.7109375" customWidth="1"/>
    <col min="5653" max="5653" width="11.7109375" customWidth="1"/>
    <col min="5909" max="5909" width="11.7109375" customWidth="1"/>
    <col min="6165" max="6165" width="11.7109375" customWidth="1"/>
    <col min="6421" max="6421" width="11.7109375" customWidth="1"/>
    <col min="6677" max="6677" width="11.7109375" customWidth="1"/>
    <col min="6933" max="6933" width="11.7109375" customWidth="1"/>
    <col min="7189" max="7189" width="11.7109375" customWidth="1"/>
    <col min="7445" max="7445" width="11.7109375" customWidth="1"/>
    <col min="7701" max="7701" width="11.7109375" customWidth="1"/>
    <col min="7957" max="7957" width="11.7109375" customWidth="1"/>
    <col min="8213" max="8213" width="11.7109375" customWidth="1"/>
    <col min="8469" max="8469" width="11.7109375" customWidth="1"/>
    <col min="8725" max="8725" width="11.7109375" customWidth="1"/>
    <col min="8981" max="8981" width="11.7109375" customWidth="1"/>
    <col min="9237" max="9237" width="11.7109375" customWidth="1"/>
    <col min="9493" max="9493" width="11.7109375" customWidth="1"/>
    <col min="9749" max="9749" width="11.7109375" customWidth="1"/>
    <col min="10005" max="10005" width="11.7109375" customWidth="1"/>
    <col min="10261" max="10261" width="11.7109375" customWidth="1"/>
    <col min="10517" max="10517" width="11.7109375" customWidth="1"/>
    <col min="10773" max="10773" width="11.7109375" customWidth="1"/>
    <col min="11029" max="11029" width="11.7109375" customWidth="1"/>
    <col min="11285" max="11285" width="11.7109375" customWidth="1"/>
    <col min="11541" max="11541" width="11.7109375" customWidth="1"/>
    <col min="11797" max="11797" width="11.7109375" customWidth="1"/>
    <col min="12053" max="12053" width="11.7109375" customWidth="1"/>
    <col min="12309" max="12309" width="11.7109375" customWidth="1"/>
    <col min="12565" max="12565" width="11.7109375" customWidth="1"/>
    <col min="12821" max="12821" width="11.7109375" customWidth="1"/>
    <col min="13077" max="13077" width="11.7109375" customWidth="1"/>
    <col min="13333" max="13333" width="11.7109375" customWidth="1"/>
    <col min="13589" max="13589" width="11.7109375" customWidth="1"/>
    <col min="13845" max="13845" width="11.7109375" customWidth="1"/>
    <col min="14101" max="14101" width="11.7109375" customWidth="1"/>
    <col min="14357" max="14357" width="11.7109375" customWidth="1"/>
    <col min="14613" max="14613" width="11.7109375" customWidth="1"/>
    <col min="14869" max="14869" width="11.7109375" customWidth="1"/>
    <col min="15125" max="15125" width="11.7109375" customWidth="1"/>
    <col min="15381" max="15381" width="11.7109375" customWidth="1"/>
    <col min="15637" max="15637" width="11.7109375" customWidth="1"/>
    <col min="15893" max="15893" width="11.7109375" customWidth="1"/>
    <col min="16149" max="16149" width="11.7109375" customWidth="1"/>
  </cols>
  <sheetData>
    <row r="1" spans="1:31" ht="13.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21"/>
      <c r="N1" s="121"/>
      <c r="O1" s="121"/>
      <c r="P1" s="121"/>
      <c r="Q1" s="121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3.5" thickBot="1">
      <c r="A2" s="110"/>
      <c r="B2" s="110"/>
      <c r="C2" s="111" t="s">
        <v>136</v>
      </c>
      <c r="D2" s="122">
        <f>Nabestaandenpensioen!B2</f>
        <v>42370</v>
      </c>
      <c r="E2" s="110"/>
      <c r="F2" s="110"/>
      <c r="G2" s="123"/>
      <c r="H2" s="123"/>
      <c r="I2" s="123"/>
      <c r="J2" s="110" t="s">
        <v>13</v>
      </c>
      <c r="K2" s="110" t="s">
        <v>104</v>
      </c>
      <c r="L2" s="110"/>
      <c r="M2" s="121"/>
      <c r="N2" s="121"/>
      <c r="O2" s="121"/>
      <c r="P2" s="121"/>
      <c r="Q2" s="12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4"/>
      <c r="AD2" s="110"/>
      <c r="AE2" s="125"/>
    </row>
    <row r="3" spans="1:31" ht="13.5" thickBot="1">
      <c r="A3" s="110"/>
      <c r="B3" s="110"/>
      <c r="C3" s="111" t="s">
        <v>126</v>
      </c>
      <c r="D3" s="126">
        <v>46</v>
      </c>
      <c r="E3" s="110"/>
      <c r="F3" s="110"/>
      <c r="G3" s="127"/>
      <c r="H3" s="127"/>
      <c r="I3" s="127"/>
      <c r="J3" s="172">
        <f>input_geboortedatum_k1</f>
        <v>0</v>
      </c>
      <c r="K3" s="110">
        <f>DATEDIF(J3,$D$2,"Y")</f>
        <v>116</v>
      </c>
      <c r="L3" s="110">
        <f>IF(K3&gt;$D$7,0,1)</f>
        <v>0</v>
      </c>
      <c r="M3" s="121"/>
      <c r="N3" s="121"/>
      <c r="O3" s="121"/>
      <c r="P3" s="121"/>
      <c r="Q3" s="121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ht="13.5" thickBot="1">
      <c r="A4" s="110"/>
      <c r="B4" s="110"/>
      <c r="C4" s="111" t="s">
        <v>69</v>
      </c>
      <c r="D4" s="128">
        <v>1.1599999999999999E-2</v>
      </c>
      <c r="E4" s="110"/>
      <c r="F4" s="110"/>
      <c r="G4" s="127"/>
      <c r="H4" s="127"/>
      <c r="I4" s="127"/>
      <c r="J4" s="172">
        <f>input_geboortedatum_k2</f>
        <v>0</v>
      </c>
      <c r="K4" s="110">
        <f>DATEDIF(J4,$D$2,"Y")</f>
        <v>116</v>
      </c>
      <c r="L4" s="110">
        <f>IF(K4&gt;$D$7,0,1)</f>
        <v>0</v>
      </c>
      <c r="M4" s="121"/>
      <c r="N4" s="121"/>
      <c r="O4" s="121"/>
      <c r="P4" s="121"/>
      <c r="Q4" s="121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3.5" thickBot="1">
      <c r="A5" s="110"/>
      <c r="B5" s="110"/>
      <c r="C5" s="111" t="s">
        <v>122</v>
      </c>
      <c r="D5" s="129" t="s">
        <v>34</v>
      </c>
      <c r="E5" s="110"/>
      <c r="F5" s="110"/>
      <c r="G5" s="127"/>
      <c r="H5" s="127"/>
      <c r="I5" s="127"/>
      <c r="J5" s="172">
        <f>input_geboortedatum_k3</f>
        <v>0</v>
      </c>
      <c r="K5" s="110">
        <f>DATEDIF(J5,$D$2,"Y")</f>
        <v>116</v>
      </c>
      <c r="L5" s="110">
        <f>IF(K5&gt;$D$7,0,1)</f>
        <v>0</v>
      </c>
      <c r="M5" s="121"/>
      <c r="N5" s="121"/>
      <c r="O5" s="121"/>
      <c r="P5" s="121"/>
      <c r="Q5" s="121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13.5" thickBot="1">
      <c r="A6" s="110"/>
      <c r="B6" s="110"/>
      <c r="C6" s="111" t="s">
        <v>38</v>
      </c>
      <c r="D6" s="130">
        <v>0.2</v>
      </c>
      <c r="E6" s="123" t="s">
        <v>134</v>
      </c>
      <c r="F6" s="110"/>
      <c r="G6" s="110"/>
      <c r="H6" s="110"/>
      <c r="I6" s="110"/>
      <c r="J6" s="172">
        <f>input_geboortedatum_k4</f>
        <v>0</v>
      </c>
      <c r="K6" s="110">
        <f>DATEDIF(J6,$D$2,"Y")</f>
        <v>116</v>
      </c>
      <c r="L6" s="110">
        <f>IF(K6&gt;$D$7,0,1)</f>
        <v>0</v>
      </c>
      <c r="M6" s="121"/>
      <c r="N6" s="121"/>
      <c r="O6" s="121"/>
      <c r="P6" s="121"/>
      <c r="Q6" s="121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3.5" thickBot="1">
      <c r="A7" s="110"/>
      <c r="B7" s="110"/>
      <c r="C7" s="111" t="s">
        <v>18</v>
      </c>
      <c r="D7" s="131">
        <v>27</v>
      </c>
      <c r="E7" s="123" t="s">
        <v>37</v>
      </c>
      <c r="F7" s="110"/>
      <c r="G7" s="110"/>
      <c r="H7" s="110"/>
      <c r="I7" s="110"/>
      <c r="J7" s="172">
        <f>input_geboortedatum_k5</f>
        <v>0</v>
      </c>
      <c r="K7" s="110">
        <f>DATEDIF(J7,$D$2,"Y")</f>
        <v>116</v>
      </c>
      <c r="L7" s="110">
        <f>IF(K7&gt;$D$7,0,1)</f>
        <v>0</v>
      </c>
      <c r="M7" s="121"/>
      <c r="N7" s="121"/>
      <c r="O7" s="121"/>
      <c r="P7" s="121"/>
      <c r="Q7" s="121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3.5" thickBot="1">
      <c r="A8" s="110"/>
      <c r="B8" s="110"/>
      <c r="C8" s="111" t="s">
        <v>119</v>
      </c>
      <c r="D8" s="131">
        <v>67</v>
      </c>
      <c r="E8" s="123"/>
      <c r="F8" s="110"/>
      <c r="G8" s="110"/>
      <c r="H8" s="110"/>
      <c r="I8" s="110"/>
      <c r="J8" s="110"/>
      <c r="K8" s="110" t="s">
        <v>22</v>
      </c>
      <c r="L8" s="110">
        <f>SUM(L3:L7)</f>
        <v>0</v>
      </c>
      <c r="M8" s="121"/>
      <c r="N8" s="121"/>
      <c r="O8" s="121"/>
      <c r="P8" s="121"/>
      <c r="Q8" s="121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78" customFormat="1" ht="13.5" thickBot="1">
      <c r="A9" s="175" t="s">
        <v>125</v>
      </c>
      <c r="B9" s="176">
        <v>101519</v>
      </c>
      <c r="C9" s="177"/>
      <c r="K9" s="179"/>
      <c r="L9" s="179"/>
      <c r="M9" s="179"/>
      <c r="N9" s="179"/>
      <c r="O9" s="179"/>
      <c r="R9" s="180"/>
      <c r="S9" s="180"/>
    </row>
    <row r="10" spans="1:31" ht="13.5" thickBot="1">
      <c r="A10" s="110"/>
      <c r="B10" s="110"/>
      <c r="C10" s="111" t="s">
        <v>123</v>
      </c>
      <c r="D10" s="132">
        <v>14656</v>
      </c>
      <c r="E10" s="110"/>
      <c r="F10" s="110"/>
      <c r="G10" s="123"/>
      <c r="H10" s="123"/>
      <c r="I10" s="123"/>
      <c r="J10" s="110"/>
      <c r="K10" s="110"/>
      <c r="L10" s="110"/>
      <c r="M10" s="121"/>
      <c r="N10" s="121"/>
      <c r="O10" s="121"/>
      <c r="P10" s="121"/>
      <c r="Q10" s="121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24"/>
      <c r="AE10" s="124"/>
    </row>
    <row r="11" spans="1:31" ht="13.5" thickBot="1">
      <c r="A11" s="110"/>
      <c r="B11" s="110"/>
      <c r="C11" s="111" t="s">
        <v>24</v>
      </c>
      <c r="D11" s="133">
        <v>1</v>
      </c>
      <c r="E11" s="110"/>
      <c r="F11" s="110"/>
      <c r="G11" s="123"/>
      <c r="H11" s="123"/>
      <c r="I11" s="123"/>
      <c r="J11" s="110"/>
      <c r="K11" s="110"/>
      <c r="L11" s="110"/>
      <c r="M11" s="121"/>
      <c r="N11" s="121"/>
      <c r="O11" s="121"/>
      <c r="P11" s="121"/>
      <c r="Q11" s="121"/>
      <c r="R11" s="110"/>
      <c r="S11" s="110"/>
      <c r="T11" s="110"/>
      <c r="U11" s="110"/>
      <c r="V11" s="188" t="s">
        <v>112</v>
      </c>
      <c r="W11" s="189"/>
      <c r="X11" s="134"/>
      <c r="Y11" s="110"/>
      <c r="Z11" s="110"/>
      <c r="AA11" s="110"/>
      <c r="AB11" s="110"/>
      <c r="AC11" s="110"/>
      <c r="AD11" s="124"/>
      <c r="AE11" s="110"/>
    </row>
    <row r="12" spans="1:31" ht="13.5" thickBot="1">
      <c r="A12" s="110"/>
      <c r="B12" s="110"/>
      <c r="C12" s="111" t="s">
        <v>1</v>
      </c>
      <c r="D12" s="132">
        <v>1</v>
      </c>
      <c r="E12" s="135" t="s">
        <v>6</v>
      </c>
      <c r="F12" s="123"/>
      <c r="G12" s="123"/>
      <c r="H12" s="123"/>
      <c r="I12" s="123"/>
      <c r="J12" s="110"/>
      <c r="K12" s="110"/>
      <c r="L12" s="110"/>
      <c r="M12" s="121"/>
      <c r="N12" s="121"/>
      <c r="O12" s="121"/>
      <c r="P12" s="121"/>
      <c r="Q12" s="121"/>
      <c r="R12" s="110"/>
      <c r="S12" s="110"/>
      <c r="T12" s="136"/>
      <c r="U12" s="110"/>
      <c r="V12" s="137" t="s">
        <v>89</v>
      </c>
      <c r="W12" s="138" t="s">
        <v>89</v>
      </c>
      <c r="X12" s="139"/>
      <c r="Y12" s="110"/>
      <c r="Z12" s="110" t="s">
        <v>23</v>
      </c>
      <c r="AA12" s="140" t="s">
        <v>138</v>
      </c>
      <c r="AB12" s="110" t="s">
        <v>64</v>
      </c>
      <c r="AC12" s="141" t="s">
        <v>67</v>
      </c>
      <c r="AD12" s="141" t="s">
        <v>20</v>
      </c>
      <c r="AE12" s="142"/>
    </row>
    <row r="13" spans="1:31">
      <c r="A13" s="110"/>
      <c r="B13" s="110"/>
      <c r="C13" s="110"/>
      <c r="D13" s="110"/>
      <c r="E13" s="110"/>
      <c r="F13" s="110" t="s">
        <v>104</v>
      </c>
      <c r="G13" s="110"/>
      <c r="H13" s="110"/>
      <c r="I13" s="110"/>
      <c r="J13" s="110"/>
      <c r="K13" s="110"/>
      <c r="L13" s="110" t="s">
        <v>114</v>
      </c>
      <c r="M13" s="121"/>
      <c r="N13" s="121"/>
      <c r="O13" s="121"/>
      <c r="P13" s="121"/>
      <c r="Q13" s="121"/>
      <c r="R13" s="110" t="s">
        <v>118</v>
      </c>
      <c r="S13" s="110"/>
      <c r="T13" s="110"/>
      <c r="U13" s="110"/>
      <c r="V13" s="137" t="s">
        <v>58</v>
      </c>
      <c r="W13" s="138" t="s">
        <v>2</v>
      </c>
      <c r="X13" s="139" t="s">
        <v>132</v>
      </c>
      <c r="Y13" s="110" t="s">
        <v>132</v>
      </c>
      <c r="Z13" s="110" t="s">
        <v>42</v>
      </c>
      <c r="AA13" s="143" t="s">
        <v>80</v>
      </c>
      <c r="AB13" s="110" t="s">
        <v>92</v>
      </c>
      <c r="AC13" s="137" t="s">
        <v>58</v>
      </c>
      <c r="AD13" s="137" t="s">
        <v>71</v>
      </c>
      <c r="AE13" s="138" t="s">
        <v>83</v>
      </c>
    </row>
    <row r="14" spans="1:31" ht="13.5" thickBot="1">
      <c r="A14" s="144" t="s">
        <v>133</v>
      </c>
      <c r="B14" s="144" t="s">
        <v>12</v>
      </c>
      <c r="C14" s="145" t="s">
        <v>103</v>
      </c>
      <c r="D14" s="145" t="s">
        <v>27</v>
      </c>
      <c r="E14" s="145" t="s">
        <v>50</v>
      </c>
      <c r="F14" s="145"/>
      <c r="G14" s="145" t="s">
        <v>30</v>
      </c>
      <c r="H14" s="145" t="s">
        <v>98</v>
      </c>
      <c r="I14" s="145" t="s">
        <v>104</v>
      </c>
      <c r="J14" s="145" t="s">
        <v>52</v>
      </c>
      <c r="K14" s="146" t="s">
        <v>100</v>
      </c>
      <c r="L14" s="145"/>
      <c r="M14" s="147" t="s">
        <v>127</v>
      </c>
      <c r="N14" s="147" t="s">
        <v>82</v>
      </c>
      <c r="O14" s="147" t="s">
        <v>120</v>
      </c>
      <c r="P14" s="147" t="s">
        <v>46</v>
      </c>
      <c r="Q14" s="147" t="s">
        <v>106</v>
      </c>
      <c r="R14" s="148" t="s">
        <v>23</v>
      </c>
      <c r="S14" s="148" t="s">
        <v>90</v>
      </c>
      <c r="T14" s="145" t="s">
        <v>5</v>
      </c>
      <c r="U14" s="145" t="s">
        <v>40</v>
      </c>
      <c r="V14" s="149" t="s">
        <v>77</v>
      </c>
      <c r="W14" s="150" t="s">
        <v>77</v>
      </c>
      <c r="X14" s="145" t="s">
        <v>131</v>
      </c>
      <c r="Y14" s="145" t="s">
        <v>43</v>
      </c>
      <c r="Z14" s="145" t="s">
        <v>91</v>
      </c>
      <c r="AA14" s="151" t="s">
        <v>99</v>
      </c>
      <c r="AB14" s="145" t="s">
        <v>62</v>
      </c>
      <c r="AC14" s="149" t="s">
        <v>124</v>
      </c>
      <c r="AD14" s="149" t="s">
        <v>77</v>
      </c>
      <c r="AE14" s="150" t="s">
        <v>108</v>
      </c>
    </row>
    <row r="15" spans="1:31">
      <c r="A15" s="152"/>
      <c r="B15" s="152"/>
      <c r="C15" s="152"/>
      <c r="D15" s="153" t="str">
        <f>input_geslacht</f>
        <v>Man</v>
      </c>
      <c r="E15" s="153">
        <f>input_geboortedatum</f>
        <v>36526</v>
      </c>
      <c r="F15" s="154">
        <f>ROUNDDOWN(YEARFRAC(E15,D$2),0)</f>
        <v>16</v>
      </c>
      <c r="G15" s="153">
        <f>input_geslacht_partner</f>
        <v>0</v>
      </c>
      <c r="H15" s="155">
        <f>input_geboortedatum_partner</f>
        <v>0</v>
      </c>
      <c r="I15" s="154" t="str">
        <f>IF(H15&gt;0,ROUNDDOWN(YEARFRAC(H15,D$2),0),"")</f>
        <v/>
      </c>
      <c r="J15" s="156">
        <f>input_datum_in_dienst</f>
        <v>42552</v>
      </c>
      <c r="K15" s="157">
        <f>DATE(YEAR(E15)+$D$8,MONTH(E15),DAY(1))</f>
        <v>60998</v>
      </c>
      <c r="L15" s="158">
        <f>MIN(ROUND(YEARFRAC(K15,J15),2),$D$3)</f>
        <v>46</v>
      </c>
      <c r="M15" s="159">
        <f>input_fulltime_salaris</f>
        <v>58632</v>
      </c>
      <c r="N15" s="160">
        <f>input_parttime_percentage/100</f>
        <v>1</v>
      </c>
      <c r="O15" s="161">
        <f>MIN($M$15,B9)*N15</f>
        <v>58632</v>
      </c>
      <c r="P15" s="161">
        <f>N15/1*$D$10</f>
        <v>14656</v>
      </c>
      <c r="Q15" s="161">
        <f>O15-P15</f>
        <v>43976</v>
      </c>
      <c r="R15" s="158">
        <f>ROUND($D$4*MIN(L15,$D$3)*Q15,2)</f>
        <v>23465.59</v>
      </c>
      <c r="S15" s="158">
        <f>D$6*R15</f>
        <v>4693.1180000000004</v>
      </c>
      <c r="T15" s="158" t="e">
        <f>IF(F15&gt;0,VLOOKUP(F15,Tabellen!AT11:AX60,IF($D15="Man",4,5)),0)</f>
        <v>#N/A</v>
      </c>
      <c r="U15" s="158" t="e">
        <f>T15*S15*(1+Tabellen!$AU$6)</f>
        <v>#N/A</v>
      </c>
      <c r="V15" s="158" t="e">
        <f>VLOOKUP(F15,geenpool,2)*U15/1000*(1+VLOOKUP(F15,VPOR,2)*VLOOKUP($D$11,Cluster,2))*(1+VLOOKUP(D$12,betalingstermijn,2))</f>
        <v>#N/A</v>
      </c>
      <c r="W15" s="158" t="e">
        <f>VLOOKUP(F15,pooltar,2)*U15/1000*(1+VLOOKUP(F15,VPOR,2)*VLOOKUP($D$11,Cluster,2))*(1+VLOOKUP(D$12,betalingstermijn,2))</f>
        <v>#N/A</v>
      </c>
      <c r="X15" s="158">
        <v>0</v>
      </c>
      <c r="Y15" s="158">
        <v>0</v>
      </c>
      <c r="Z15" s="158" t="e">
        <f>IF(U15&gt;0,Opslag,0)</f>
        <v>#N/A</v>
      </c>
      <c r="AA15" s="158" t="e">
        <f>VLOOKUP($F15,pooltar,2)*$U15/1000*(1+VLOOKUP($D$12,betalingstermijn,2))</f>
        <v>#N/A</v>
      </c>
      <c r="AB15" s="158" t="e">
        <f>prudent*VLOOKUP($F15,pooltar,2)*$U15/1000*(1+VLOOKUP($D$12,betalingstermijn,2))</f>
        <v>#N/A</v>
      </c>
      <c r="AC15" s="158" t="e">
        <f>V15+X15+Z15</f>
        <v>#N/A</v>
      </c>
      <c r="AD15" s="158" t="e">
        <f>W15+Y15+Z15</f>
        <v>#N/A</v>
      </c>
      <c r="AE15" s="158" t="e">
        <f>AD15-AB15</f>
        <v>#N/A</v>
      </c>
    </row>
    <row r="16" spans="1:31">
      <c r="A16" s="139"/>
      <c r="B16" s="139"/>
      <c r="C16" s="139"/>
      <c r="D16" s="162"/>
      <c r="E16" s="162"/>
      <c r="F16" s="169"/>
      <c r="G16" s="162"/>
      <c r="H16" s="155"/>
      <c r="I16" s="163"/>
      <c r="J16" s="164"/>
      <c r="K16" s="157"/>
      <c r="L16" s="165"/>
      <c r="M16" s="166"/>
      <c r="N16" s="167"/>
      <c r="O16" s="168"/>
      <c r="P16" s="168"/>
      <c r="Q16" s="168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</row>
    <row r="17" spans="1:31">
      <c r="A17" s="139"/>
      <c r="B17" s="139"/>
      <c r="C17" s="139"/>
      <c r="D17" s="162"/>
      <c r="E17" s="162"/>
      <c r="F17" s="163"/>
      <c r="G17" s="162"/>
      <c r="H17" s="155"/>
      <c r="I17" s="163"/>
      <c r="J17" s="164"/>
      <c r="K17" s="157"/>
      <c r="L17" s="165"/>
      <c r="M17" s="166"/>
      <c r="N17" s="167"/>
      <c r="O17" s="168"/>
      <c r="P17" s="168"/>
      <c r="Q17" s="168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</row>
    <row r="18" spans="1:31">
      <c r="A18" s="139"/>
      <c r="B18" s="139"/>
      <c r="C18" s="139"/>
      <c r="D18" s="162"/>
      <c r="E18" s="162"/>
      <c r="F18" s="163"/>
      <c r="G18" s="162"/>
      <c r="H18" s="155"/>
      <c r="I18" s="163"/>
      <c r="J18" s="164"/>
      <c r="K18" s="157"/>
      <c r="L18" s="165"/>
      <c r="M18" s="166"/>
      <c r="N18" s="167"/>
      <c r="O18" s="168"/>
      <c r="P18" s="168"/>
      <c r="Q18" s="168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</row>
    <row r="19" spans="1:31">
      <c r="A19" s="139"/>
      <c r="B19" s="139"/>
      <c r="C19" s="139"/>
      <c r="D19" s="162"/>
      <c r="E19" s="162"/>
      <c r="F19" s="163"/>
      <c r="G19" s="162"/>
      <c r="H19" s="155"/>
      <c r="I19" s="163"/>
      <c r="J19" s="164"/>
      <c r="K19" s="157"/>
      <c r="L19" s="165"/>
      <c r="M19" s="166"/>
      <c r="N19" s="167"/>
      <c r="O19" s="168"/>
      <c r="P19" s="168"/>
      <c r="Q19" s="168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</row>
    <row r="20" spans="1:31">
      <c r="A20" s="139"/>
      <c r="B20" s="139"/>
      <c r="C20" s="139"/>
      <c r="D20" s="162"/>
      <c r="E20" s="162"/>
      <c r="F20" s="163"/>
      <c r="G20" s="162"/>
      <c r="H20" s="155"/>
      <c r="I20" s="163"/>
      <c r="J20" s="164"/>
      <c r="K20" s="157"/>
      <c r="L20" s="165"/>
      <c r="M20" s="166"/>
      <c r="N20" s="167"/>
      <c r="O20" s="168"/>
      <c r="P20" s="168"/>
      <c r="Q20" s="168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</row>
    <row r="21" spans="1:31">
      <c r="D21" s="170"/>
      <c r="E21" s="171"/>
      <c r="F21" s="163"/>
      <c r="G21" s="170"/>
      <c r="J21" s="171"/>
      <c r="K21" s="157"/>
      <c r="L21" s="165"/>
      <c r="M21" s="166"/>
      <c r="N21" s="167"/>
      <c r="O21" s="168"/>
      <c r="P21" s="168"/>
      <c r="Q21" s="168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</row>
    <row r="22" spans="1:31"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</sheetData>
  <mergeCells count="1">
    <mergeCell ref="V11:W1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Q240"/>
  <sheetViews>
    <sheetView topLeftCell="AC1" workbookViewId="0">
      <selection activeCell="AK9" sqref="AK9:AK64"/>
    </sheetView>
  </sheetViews>
  <sheetFormatPr defaultColWidth="9.140625" defaultRowHeight="12.75"/>
  <cols>
    <col min="1" max="5" width="9.140625" style="8" customWidth="1"/>
    <col min="6" max="6" width="13.28515625" style="8" customWidth="1"/>
    <col min="7" max="14" width="9.140625" style="8" customWidth="1"/>
    <col min="15" max="15" width="25.140625" style="8" customWidth="1"/>
    <col min="16" max="44" width="9.140625" style="8" customWidth="1"/>
    <col min="45" max="52" width="9.140625" style="110" customWidth="1"/>
    <col min="53" max="53" width="9.140625" style="8" customWidth="1"/>
    <col min="54" max="16384" width="9.140625" style="8"/>
  </cols>
  <sheetData>
    <row r="1" spans="1:69">
      <c r="A1" s="24" t="s">
        <v>73</v>
      </c>
      <c r="B1" s="9"/>
      <c r="C1" s="9"/>
      <c r="D1" s="9"/>
      <c r="E1" s="9"/>
      <c r="F1" s="9"/>
      <c r="G1" s="9"/>
      <c r="H1" s="9"/>
      <c r="I1" s="24" t="s">
        <v>73</v>
      </c>
      <c r="J1" s="9"/>
      <c r="K1" s="9"/>
      <c r="L1" s="9"/>
      <c r="M1" s="9"/>
      <c r="N1" s="9"/>
      <c r="O1" s="9"/>
      <c r="P1" s="9"/>
      <c r="Q1" s="9"/>
      <c r="R1" s="28" t="s">
        <v>88</v>
      </c>
      <c r="S1" s="9"/>
      <c r="T1" s="9"/>
      <c r="U1" s="9"/>
      <c r="V1" s="9"/>
      <c r="W1" s="9"/>
      <c r="X1" s="9"/>
      <c r="Y1" s="9"/>
      <c r="Z1" s="9"/>
      <c r="AA1" s="9"/>
      <c r="AB1" s="9"/>
      <c r="AC1" s="24" t="s">
        <v>76</v>
      </c>
      <c r="AD1" s="9"/>
      <c r="AE1" s="24"/>
      <c r="AF1" s="24"/>
      <c r="AG1" s="24"/>
      <c r="AH1" s="24"/>
      <c r="AI1" s="24"/>
      <c r="AJ1" s="9"/>
      <c r="AK1" s="9"/>
      <c r="AL1" s="9"/>
      <c r="AM1" s="9"/>
      <c r="AN1" s="9"/>
      <c r="AO1" s="9"/>
      <c r="AP1" s="9" t="s">
        <v>77</v>
      </c>
      <c r="AQ1" s="9"/>
      <c r="AR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</row>
    <row r="2" spans="1:69">
      <c r="A2" s="24" t="s">
        <v>68</v>
      </c>
      <c r="B2" s="9"/>
      <c r="C2" s="9"/>
      <c r="D2" s="9"/>
      <c r="E2" s="9"/>
      <c r="F2" s="28"/>
      <c r="G2" s="24"/>
      <c r="H2" s="9"/>
      <c r="I2" s="24" t="s">
        <v>68</v>
      </c>
      <c r="J2" s="9"/>
      <c r="K2" s="9"/>
      <c r="L2" s="9"/>
      <c r="M2" s="9"/>
      <c r="N2" s="9"/>
      <c r="O2" s="9"/>
      <c r="P2" s="9"/>
      <c r="Q2" s="9"/>
      <c r="R2" s="28" t="s">
        <v>59</v>
      </c>
      <c r="S2" s="9"/>
      <c r="T2" s="9"/>
      <c r="U2" s="9"/>
      <c r="V2" s="9"/>
      <c r="W2" s="9"/>
      <c r="X2" s="9"/>
      <c r="Y2" s="9"/>
      <c r="Z2" s="9"/>
      <c r="AA2" s="9"/>
      <c r="AB2" s="9"/>
      <c r="AC2" s="24" t="s">
        <v>63</v>
      </c>
      <c r="AD2" s="9"/>
      <c r="AE2" s="24"/>
      <c r="AF2" s="24"/>
      <c r="AG2" s="24"/>
      <c r="AH2" s="24"/>
      <c r="AI2" s="24"/>
      <c r="AJ2" s="9"/>
      <c r="AK2" s="9"/>
      <c r="AL2" s="9"/>
      <c r="AM2" s="9"/>
      <c r="AN2" s="9"/>
      <c r="AO2" s="9"/>
      <c r="AP2" s="9">
        <v>1999</v>
      </c>
      <c r="AQ2" s="22">
        <v>0.39</v>
      </c>
      <c r="AR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5" t="s">
        <v>137</v>
      </c>
      <c r="S3" s="9"/>
      <c r="T3" s="9"/>
      <c r="U3" s="9"/>
      <c r="V3" s="9"/>
      <c r="W3" s="9"/>
      <c r="X3" s="9"/>
      <c r="Y3" s="9"/>
      <c r="Z3" s="9"/>
      <c r="AA3" s="10"/>
      <c r="AB3" s="9"/>
      <c r="AC3" s="9" t="s">
        <v>44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>
        <f t="shared" ref="AP3:AP13" si="0">AP2+1</f>
        <v>2000</v>
      </c>
      <c r="AQ3" s="22">
        <v>0.32</v>
      </c>
      <c r="AR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>
      <c r="A4" s="9"/>
      <c r="B4" s="29"/>
      <c r="C4" s="29" t="s">
        <v>61</v>
      </c>
      <c r="D4" s="37"/>
      <c r="E4" s="9"/>
      <c r="F4" s="28" t="s">
        <v>61</v>
      </c>
      <c r="G4" s="9"/>
      <c r="H4" s="9"/>
      <c r="I4" s="9"/>
      <c r="J4" s="29"/>
      <c r="K4" s="29" t="s">
        <v>8</v>
      </c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9"/>
      <c r="AC4" s="9">
        <v>1</v>
      </c>
      <c r="AD4" s="26">
        <v>0.6</v>
      </c>
      <c r="AE4" s="20"/>
      <c r="AF4" s="9"/>
      <c r="AG4" s="9"/>
      <c r="AH4" s="9"/>
      <c r="AI4" s="9"/>
      <c r="AJ4" s="9"/>
      <c r="AK4" s="9"/>
      <c r="AL4" s="9"/>
      <c r="AM4" s="9"/>
      <c r="AN4" s="9"/>
      <c r="AO4" s="9"/>
      <c r="AP4" s="9">
        <f t="shared" si="0"/>
        <v>2001</v>
      </c>
      <c r="AQ4" s="22">
        <v>0.35</v>
      </c>
      <c r="AR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39" thickBot="1">
      <c r="A5" s="9"/>
      <c r="B5" s="33" t="s">
        <v>11</v>
      </c>
      <c r="C5" s="36" t="s">
        <v>115</v>
      </c>
      <c r="D5" s="34" t="s">
        <v>79</v>
      </c>
      <c r="E5" s="33" t="s">
        <v>11</v>
      </c>
      <c r="F5" s="36" t="s">
        <v>115</v>
      </c>
      <c r="G5" s="23" t="s">
        <v>129</v>
      </c>
      <c r="H5" s="9"/>
      <c r="I5" s="9"/>
      <c r="J5" s="33" t="s">
        <v>11</v>
      </c>
      <c r="K5" s="35" t="s">
        <v>15</v>
      </c>
      <c r="L5" s="34"/>
      <c r="M5" s="9"/>
      <c r="N5" s="9"/>
      <c r="O5" s="9"/>
      <c r="P5" s="9"/>
      <c r="Q5" s="9"/>
      <c r="R5" s="9"/>
      <c r="S5" s="9"/>
      <c r="T5" s="9"/>
      <c r="U5" s="9"/>
      <c r="V5" s="9"/>
      <c r="W5" s="33" t="s">
        <v>11</v>
      </c>
      <c r="X5" s="15" t="s">
        <v>117</v>
      </c>
      <c r="Y5" s="9"/>
      <c r="Z5" s="33"/>
      <c r="AA5" s="32"/>
      <c r="AB5" s="9"/>
      <c r="AC5" s="9">
        <v>2</v>
      </c>
      <c r="AD5" s="26">
        <v>0.82499999999999996</v>
      </c>
      <c r="AE5" s="20"/>
      <c r="AF5" s="9"/>
      <c r="AG5" s="9" t="s">
        <v>51</v>
      </c>
      <c r="AH5" s="9"/>
      <c r="AI5" s="9"/>
      <c r="AJ5" s="9"/>
      <c r="AK5" s="9"/>
      <c r="AL5" s="9"/>
      <c r="AM5" s="9"/>
      <c r="AN5" s="9"/>
      <c r="AO5" s="9"/>
      <c r="AP5" s="9">
        <f t="shared" si="0"/>
        <v>2002</v>
      </c>
      <c r="AQ5" s="22">
        <v>0.2</v>
      </c>
      <c r="AR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>
      <c r="A6" s="9"/>
      <c r="B6" s="29">
        <v>15</v>
      </c>
      <c r="C6" s="103">
        <v>39.7647190475464</v>
      </c>
      <c r="D6" s="31"/>
      <c r="E6" s="29">
        <v>15</v>
      </c>
      <c r="F6" s="106">
        <v>39.784551191711401</v>
      </c>
      <c r="G6" s="9"/>
      <c r="H6" s="9"/>
      <c r="I6" s="9"/>
      <c r="J6" s="29">
        <v>15</v>
      </c>
      <c r="K6" s="107">
        <v>34.248151779174798</v>
      </c>
      <c r="L6" s="18"/>
      <c r="M6" s="9"/>
      <c r="N6" s="30">
        <v>21</v>
      </c>
      <c r="O6" s="9"/>
      <c r="P6" s="9"/>
      <c r="Q6" s="23" t="s">
        <v>11</v>
      </c>
      <c r="R6" s="23" t="s">
        <v>81</v>
      </c>
      <c r="S6" s="9" t="s">
        <v>3</v>
      </c>
      <c r="T6" s="9"/>
      <c r="U6" s="9"/>
      <c r="V6" s="9"/>
      <c r="W6" s="29">
        <v>15</v>
      </c>
      <c r="X6" s="13">
        <v>7.7499999999999999E-2</v>
      </c>
      <c r="Y6" s="9"/>
      <c r="Z6" s="29"/>
      <c r="AA6" s="14"/>
      <c r="AB6" s="9"/>
      <c r="AC6" s="9">
        <v>3</v>
      </c>
      <c r="AD6" s="26">
        <v>1.05</v>
      </c>
      <c r="AE6" s="20"/>
      <c r="AF6" s="9"/>
      <c r="AG6" s="9"/>
      <c r="AH6" s="28" t="s">
        <v>33</v>
      </c>
      <c r="AI6" s="9"/>
      <c r="AJ6" s="9"/>
      <c r="AK6" s="28" t="s">
        <v>135</v>
      </c>
      <c r="AL6" s="9"/>
      <c r="AM6" s="9"/>
      <c r="AN6" s="9"/>
      <c r="AO6" s="9"/>
      <c r="AP6" s="9">
        <f t="shared" si="0"/>
        <v>2003</v>
      </c>
      <c r="AQ6" s="22">
        <v>0.19</v>
      </c>
      <c r="AR6" s="9"/>
      <c r="AT6" s="111" t="s">
        <v>55</v>
      </c>
      <c r="AU6" s="112">
        <v>0.03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ht="13.5" thickBot="1">
      <c r="A7" s="9"/>
      <c r="B7" s="17">
        <v>16</v>
      </c>
      <c r="C7" s="103">
        <v>39.5847190475464</v>
      </c>
      <c r="D7" s="18"/>
      <c r="E7" s="17">
        <v>16</v>
      </c>
      <c r="F7" s="106">
        <v>39.604551191711401</v>
      </c>
      <c r="G7" s="9"/>
      <c r="H7" s="9"/>
      <c r="I7" s="9"/>
      <c r="J7" s="17">
        <v>16</v>
      </c>
      <c r="K7" s="107">
        <v>33.923124313354499</v>
      </c>
      <c r="L7" s="18"/>
      <c r="M7" s="9"/>
      <c r="N7" s="27">
        <v>27</v>
      </c>
      <c r="O7" s="9"/>
      <c r="P7" s="9"/>
      <c r="Q7" s="9">
        <v>0</v>
      </c>
      <c r="R7" s="109">
        <v>18.7359523773193</v>
      </c>
      <c r="S7" s="9"/>
      <c r="T7" s="9"/>
      <c r="U7" s="9"/>
      <c r="V7" s="9"/>
      <c r="W7" s="17">
        <v>16</v>
      </c>
      <c r="X7" s="13">
        <v>7.7499999999999999E-2</v>
      </c>
      <c r="Y7" s="9"/>
      <c r="Z7" s="17"/>
      <c r="AA7" s="14"/>
      <c r="AB7" s="9"/>
      <c r="AC7" s="9">
        <v>4</v>
      </c>
      <c r="AD7" s="26">
        <v>1.4</v>
      </c>
      <c r="AE7" s="20"/>
      <c r="AF7" s="9"/>
      <c r="AG7" s="9" t="s">
        <v>95</v>
      </c>
      <c r="AH7" s="9"/>
      <c r="AI7" s="9"/>
      <c r="AJ7" s="23" t="s">
        <v>110</v>
      </c>
      <c r="AK7" s="9" t="s">
        <v>107</v>
      </c>
      <c r="AL7" s="9"/>
      <c r="AM7" s="9"/>
      <c r="AN7" s="9"/>
      <c r="AO7" s="9"/>
      <c r="AP7" s="9">
        <f t="shared" si="0"/>
        <v>2004</v>
      </c>
      <c r="AQ7" s="22">
        <v>0.44</v>
      </c>
      <c r="AR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>
      <c r="A8" s="9"/>
      <c r="B8" s="17">
        <v>17</v>
      </c>
      <c r="C8" s="103">
        <v>39.394719047546403</v>
      </c>
      <c r="D8" s="18"/>
      <c r="E8" s="17">
        <v>17</v>
      </c>
      <c r="F8" s="106">
        <v>39.414551191711404</v>
      </c>
      <c r="G8" s="9"/>
      <c r="H8" s="9"/>
      <c r="I8" s="9"/>
      <c r="J8" s="17">
        <v>17</v>
      </c>
      <c r="K8" s="107">
        <v>33.588638305664098</v>
      </c>
      <c r="L8" s="18"/>
      <c r="M8" s="9"/>
      <c r="N8" s="9"/>
      <c r="O8" s="9"/>
      <c r="P8" s="9"/>
      <c r="Q8" s="9">
        <v>1</v>
      </c>
      <c r="R8" s="109">
        <v>17.996925354003899</v>
      </c>
      <c r="S8" s="9"/>
      <c r="T8" s="9"/>
      <c r="U8" s="9"/>
      <c r="V8" s="9"/>
      <c r="W8" s="17">
        <v>17</v>
      </c>
      <c r="X8" s="13">
        <v>7.7499999999999999E-2</v>
      </c>
      <c r="Y8" s="9"/>
      <c r="Z8" s="17"/>
      <c r="AA8" s="14"/>
      <c r="AB8" s="9"/>
      <c r="AC8" s="9">
        <v>5</v>
      </c>
      <c r="AD8" s="26">
        <v>2.25</v>
      </c>
      <c r="AE8" s="20"/>
      <c r="AF8" s="9"/>
      <c r="AG8" s="9"/>
      <c r="AH8" s="9"/>
      <c r="AI8" s="9"/>
      <c r="AJ8" s="9"/>
      <c r="AK8" s="9"/>
      <c r="AL8" s="9"/>
      <c r="AM8" s="9" t="s">
        <v>11</v>
      </c>
      <c r="AN8" s="9" t="s">
        <v>93</v>
      </c>
      <c r="AO8" s="9"/>
      <c r="AP8" s="9">
        <f t="shared" si="0"/>
        <v>2005</v>
      </c>
      <c r="AQ8" s="22">
        <v>0.21</v>
      </c>
      <c r="AR8" s="9"/>
      <c r="AU8" s="110" t="s">
        <v>41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13.5" thickBot="1">
      <c r="A9" s="9"/>
      <c r="B9" s="17">
        <v>18</v>
      </c>
      <c r="C9" s="103">
        <v>39.204719047546398</v>
      </c>
      <c r="D9" s="18"/>
      <c r="E9" s="17">
        <v>18</v>
      </c>
      <c r="F9" s="106">
        <v>39.224551191711399</v>
      </c>
      <c r="G9" s="9"/>
      <c r="H9" s="9"/>
      <c r="I9" s="9"/>
      <c r="J9" s="17">
        <v>18</v>
      </c>
      <c r="K9" s="107">
        <v>33.243820190429702</v>
      </c>
      <c r="L9" s="18"/>
      <c r="M9" s="9"/>
      <c r="N9" s="9"/>
      <c r="O9" s="9"/>
      <c r="P9" s="9"/>
      <c r="Q9" s="9">
        <v>2</v>
      </c>
      <c r="R9" s="109">
        <v>17.244115829467798</v>
      </c>
      <c r="S9" s="9"/>
      <c r="T9" s="9"/>
      <c r="U9" s="9"/>
      <c r="V9" s="9"/>
      <c r="W9" s="17">
        <v>18</v>
      </c>
      <c r="X9" s="13">
        <v>7.7499999999999999E-2</v>
      </c>
      <c r="Y9" s="9"/>
      <c r="Z9" s="17"/>
      <c r="AA9" s="14"/>
      <c r="AB9" s="9"/>
      <c r="AC9" s="9"/>
      <c r="AD9" s="19"/>
      <c r="AE9" s="20"/>
      <c r="AF9" s="9"/>
      <c r="AG9" s="9">
        <v>15</v>
      </c>
      <c r="AH9" s="181">
        <v>0.2</v>
      </c>
      <c r="AI9" s="9"/>
      <c r="AJ9" s="9">
        <v>15</v>
      </c>
      <c r="AK9" s="183">
        <v>0.19</v>
      </c>
      <c r="AL9" s="9"/>
      <c r="AM9" s="9">
        <v>15</v>
      </c>
      <c r="AN9" s="12">
        <v>6.9000000000000006E-2</v>
      </c>
      <c r="AO9" s="9"/>
      <c r="AP9" s="9">
        <f t="shared" si="0"/>
        <v>2006</v>
      </c>
      <c r="AQ9" s="22">
        <v>0.3</v>
      </c>
      <c r="AR9" s="9"/>
      <c r="AU9" t="s">
        <v>66</v>
      </c>
      <c r="AW9" s="113" t="s">
        <v>78</v>
      </c>
      <c r="AX9" s="113"/>
      <c r="AY9" s="113"/>
      <c r="AZ9" s="113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>
      <c r="A10" s="9"/>
      <c r="B10" s="17">
        <v>19</v>
      </c>
      <c r="C10" s="103">
        <v>39.004719047546402</v>
      </c>
      <c r="D10" s="18"/>
      <c r="E10" s="17">
        <v>19</v>
      </c>
      <c r="F10" s="106">
        <v>39.024551191711403</v>
      </c>
      <c r="G10" s="9"/>
      <c r="H10" s="25"/>
      <c r="I10" s="9"/>
      <c r="J10" s="17">
        <v>19</v>
      </c>
      <c r="K10" s="107">
        <v>32.8888454437256</v>
      </c>
      <c r="L10" s="18"/>
      <c r="M10" s="9"/>
      <c r="N10" s="9"/>
      <c r="O10" s="9"/>
      <c r="P10" s="9"/>
      <c r="Q10" s="9">
        <v>3</v>
      </c>
      <c r="R10" s="109">
        <v>16.476600646972699</v>
      </c>
      <c r="S10" s="9"/>
      <c r="T10" s="9"/>
      <c r="U10" s="9"/>
      <c r="V10" s="9"/>
      <c r="W10" s="17">
        <v>19</v>
      </c>
      <c r="X10" s="13">
        <v>7.7499999999999999E-2</v>
      </c>
      <c r="Y10" s="9"/>
      <c r="Z10" s="17"/>
      <c r="AA10" s="14"/>
      <c r="AB10" s="9"/>
      <c r="AC10" s="9"/>
      <c r="AD10" s="19"/>
      <c r="AE10" s="20"/>
      <c r="AF10" s="9"/>
      <c r="AG10" s="9">
        <v>16</v>
      </c>
      <c r="AH10" s="181">
        <v>0.2</v>
      </c>
      <c r="AI10" s="9"/>
      <c r="AJ10" s="9">
        <v>16</v>
      </c>
      <c r="AK10" s="183">
        <v>0.19</v>
      </c>
      <c r="AL10" s="9"/>
      <c r="AM10" s="9">
        <v>16</v>
      </c>
      <c r="AN10" s="12">
        <v>6.9000000000000006E-2</v>
      </c>
      <c r="AO10" s="9"/>
      <c r="AP10" s="9">
        <f t="shared" si="0"/>
        <v>2007</v>
      </c>
      <c r="AQ10" s="22">
        <v>0.11</v>
      </c>
      <c r="AR10" s="9"/>
      <c r="AT10" t="s">
        <v>11</v>
      </c>
      <c r="AU10" s="114" t="s">
        <v>9</v>
      </c>
      <c r="AV10" s="85" t="s">
        <v>16</v>
      </c>
      <c r="AW10" s="114" t="s">
        <v>9</v>
      </c>
      <c r="AX10" s="85" t="s">
        <v>16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>
      <c r="A11" s="9"/>
      <c r="B11" s="17">
        <v>20</v>
      </c>
      <c r="C11" s="103">
        <v>38.797328777313197</v>
      </c>
      <c r="D11" s="18"/>
      <c r="E11" s="17">
        <v>20</v>
      </c>
      <c r="F11" s="106">
        <v>38.817372948455798</v>
      </c>
      <c r="G11" s="25"/>
      <c r="H11" s="9"/>
      <c r="I11" s="9"/>
      <c r="J11" s="17">
        <v>20</v>
      </c>
      <c r="K11" s="107">
        <v>32.523311614990199</v>
      </c>
      <c r="L11" s="18"/>
      <c r="M11" s="9"/>
      <c r="N11" s="9"/>
      <c r="O11" s="9"/>
      <c r="P11" s="9"/>
      <c r="Q11" s="9">
        <v>4</v>
      </c>
      <c r="R11" s="109">
        <v>15.6940364837646</v>
      </c>
      <c r="S11" s="9"/>
      <c r="T11" s="9"/>
      <c r="U11" s="9"/>
      <c r="V11" s="9"/>
      <c r="W11" s="17">
        <v>20</v>
      </c>
      <c r="X11" s="13">
        <v>7.7499999999999999E-2</v>
      </c>
      <c r="Y11" s="9"/>
      <c r="Z11" s="17"/>
      <c r="AA11" s="14"/>
      <c r="AB11" s="9"/>
      <c r="AC11" s="21" t="s">
        <v>45</v>
      </c>
      <c r="AD11" s="19"/>
      <c r="AE11" s="20"/>
      <c r="AF11" s="9"/>
      <c r="AG11" s="9">
        <v>17</v>
      </c>
      <c r="AH11" s="181">
        <v>0.2</v>
      </c>
      <c r="AI11" s="9"/>
      <c r="AJ11" s="9">
        <v>17</v>
      </c>
      <c r="AK11" s="183">
        <v>0.19</v>
      </c>
      <c r="AL11" s="9"/>
      <c r="AM11" s="9">
        <v>17</v>
      </c>
      <c r="AN11" s="12">
        <v>6.9000000000000006E-2</v>
      </c>
      <c r="AO11" s="9"/>
      <c r="AP11" s="9">
        <f t="shared" si="0"/>
        <v>2008</v>
      </c>
      <c r="AQ11" s="22">
        <v>0.35</v>
      </c>
      <c r="AR11" s="9"/>
      <c r="AT11">
        <v>18</v>
      </c>
      <c r="AU11" s="115">
        <v>19.606872690448601</v>
      </c>
      <c r="AV11" s="116">
        <v>19.606872690448601</v>
      </c>
      <c r="AW11" s="115">
        <v>20.6445736783452</v>
      </c>
      <c r="AX11" s="116">
        <v>20.6445736783452</v>
      </c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>
      <c r="A12" s="9"/>
      <c r="B12" s="17">
        <v>21</v>
      </c>
      <c r="C12" s="103">
        <v>38.587454411907203</v>
      </c>
      <c r="D12" s="18"/>
      <c r="E12" s="17">
        <v>21</v>
      </c>
      <c r="F12" s="106">
        <v>38.607494978591198</v>
      </c>
      <c r="G12" s="23"/>
      <c r="H12" s="9"/>
      <c r="I12" s="9"/>
      <c r="J12" s="17">
        <v>21</v>
      </c>
      <c r="K12" s="107">
        <v>32.146594316482499</v>
      </c>
      <c r="L12" s="18"/>
      <c r="M12" s="9"/>
      <c r="N12" s="9"/>
      <c r="O12" s="9"/>
      <c r="P12" s="9"/>
      <c r="Q12" s="9">
        <v>5</v>
      </c>
      <c r="R12" s="109">
        <v>14.8961334228516</v>
      </c>
      <c r="S12" s="9"/>
      <c r="T12" s="9"/>
      <c r="U12" s="9"/>
      <c r="V12" s="9"/>
      <c r="W12" s="17">
        <v>21</v>
      </c>
      <c r="X12" s="13">
        <v>7.7499999999999999E-2</v>
      </c>
      <c r="Y12" s="9"/>
      <c r="Z12" s="17"/>
      <c r="AA12" s="14"/>
      <c r="AB12" s="9"/>
      <c r="AC12" s="9">
        <v>1</v>
      </c>
      <c r="AD12" s="19">
        <v>0</v>
      </c>
      <c r="AE12" s="9"/>
      <c r="AF12" s="9"/>
      <c r="AG12" s="9">
        <v>18</v>
      </c>
      <c r="AH12" s="181">
        <v>0.23</v>
      </c>
      <c r="AI12" s="9"/>
      <c r="AJ12" s="9">
        <v>18</v>
      </c>
      <c r="AK12" s="183">
        <v>0.21</v>
      </c>
      <c r="AL12" s="9"/>
      <c r="AM12" s="9">
        <v>18</v>
      </c>
      <c r="AN12" s="12">
        <v>6.9000000000000006E-2</v>
      </c>
      <c r="AO12" s="9"/>
      <c r="AP12" s="9">
        <f t="shared" si="0"/>
        <v>2009</v>
      </c>
      <c r="AQ12" s="22">
        <v>0.26</v>
      </c>
      <c r="AR12" s="9"/>
      <c r="AT12">
        <v>19</v>
      </c>
      <c r="AU12" s="117">
        <v>19.606872690448601</v>
      </c>
      <c r="AV12" s="118">
        <v>20.047068702868899</v>
      </c>
      <c r="AW12" s="117">
        <v>20.6445736783452</v>
      </c>
      <c r="AX12" s="118">
        <v>21.108067227510301</v>
      </c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>
      <c r="A13" s="9"/>
      <c r="B13" s="17">
        <v>22</v>
      </c>
      <c r="C13" s="103">
        <v>38.3699385070801</v>
      </c>
      <c r="D13" s="18"/>
      <c r="E13" s="17">
        <v>22</v>
      </c>
      <c r="F13" s="106">
        <v>38.390194705200201</v>
      </c>
      <c r="G13" s="11"/>
      <c r="H13" s="9"/>
      <c r="I13" s="9"/>
      <c r="J13" s="17">
        <v>22</v>
      </c>
      <c r="K13" s="107">
        <v>31.758331142425501</v>
      </c>
      <c r="L13" s="18"/>
      <c r="M13" s="9"/>
      <c r="N13" s="9"/>
      <c r="O13" s="9"/>
      <c r="P13" s="9"/>
      <c r="Q13" s="9">
        <v>6</v>
      </c>
      <c r="R13" s="109">
        <v>14.082638740539601</v>
      </c>
      <c r="S13" s="9"/>
      <c r="T13" s="9"/>
      <c r="U13" s="9"/>
      <c r="V13" s="9"/>
      <c r="W13" s="17">
        <v>22</v>
      </c>
      <c r="X13" s="13">
        <v>7.7499999999999999E-2</v>
      </c>
      <c r="Y13" s="9"/>
      <c r="Z13" s="17"/>
      <c r="AA13" s="14"/>
      <c r="AB13" s="9"/>
      <c r="AC13" s="9">
        <v>2</v>
      </c>
      <c r="AD13" s="19">
        <v>0.02</v>
      </c>
      <c r="AE13" s="9"/>
      <c r="AF13" s="9"/>
      <c r="AG13" s="9">
        <v>19</v>
      </c>
      <c r="AH13" s="181">
        <v>0.25</v>
      </c>
      <c r="AI13" s="9"/>
      <c r="AJ13" s="9">
        <v>19</v>
      </c>
      <c r="AK13" s="183">
        <v>0.23</v>
      </c>
      <c r="AL13" s="9"/>
      <c r="AM13" s="9">
        <v>19</v>
      </c>
      <c r="AN13" s="12">
        <v>6.9000000000000006E-2</v>
      </c>
      <c r="AO13" s="9"/>
      <c r="AP13" s="9">
        <f t="shared" si="0"/>
        <v>2010</v>
      </c>
      <c r="AQ13" s="22">
        <v>0.21</v>
      </c>
      <c r="AR13" s="9"/>
      <c r="AT13">
        <v>20</v>
      </c>
      <c r="AU13" s="117">
        <v>19.606872690448601</v>
      </c>
      <c r="AV13" s="118">
        <v>19.696035136399601</v>
      </c>
      <c r="AW13" s="117">
        <v>20.6445736783452</v>
      </c>
      <c r="AX13" s="118">
        <v>20.804465554529202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>
      <c r="A14" s="9"/>
      <c r="B14" s="17">
        <v>23</v>
      </c>
      <c r="C14" s="103">
        <v>38.310729328689597</v>
      </c>
      <c r="D14" s="18"/>
      <c r="E14" s="17">
        <v>23</v>
      </c>
      <c r="F14" s="106">
        <v>38.340597092817703</v>
      </c>
      <c r="G14" s="11"/>
      <c r="H14" s="9"/>
      <c r="I14" s="9"/>
      <c r="J14" s="17">
        <v>23</v>
      </c>
      <c r="K14" s="107">
        <v>31.358061914444001</v>
      </c>
      <c r="L14" s="18"/>
      <c r="M14" s="9"/>
      <c r="N14" s="9"/>
      <c r="O14" s="9"/>
      <c r="P14" s="9"/>
      <c r="Q14" s="9">
        <v>7</v>
      </c>
      <c r="R14" s="109">
        <v>13.252462387085</v>
      </c>
      <c r="S14" s="9"/>
      <c r="T14" s="9"/>
      <c r="U14" s="9"/>
      <c r="V14" s="9"/>
      <c r="W14" s="17">
        <v>23</v>
      </c>
      <c r="X14" s="13">
        <v>7.7499999999999999E-2</v>
      </c>
      <c r="Y14" s="9"/>
      <c r="Z14" s="17"/>
      <c r="AA14" s="14"/>
      <c r="AB14" s="9"/>
      <c r="AC14" s="9">
        <v>3</v>
      </c>
      <c r="AD14" s="19">
        <v>0.04</v>
      </c>
      <c r="AE14" s="9"/>
      <c r="AF14" s="9"/>
      <c r="AG14" s="9">
        <v>20</v>
      </c>
      <c r="AH14" s="181">
        <v>0.25</v>
      </c>
      <c r="AI14" s="9"/>
      <c r="AJ14" s="9">
        <v>20</v>
      </c>
      <c r="AK14" s="183">
        <v>0.23</v>
      </c>
      <c r="AL14" s="9"/>
      <c r="AM14" s="9">
        <v>20</v>
      </c>
      <c r="AN14" s="12">
        <v>6.9000000000000006E-2</v>
      </c>
      <c r="AO14" s="9"/>
      <c r="AP14" s="9">
        <v>2011</v>
      </c>
      <c r="AQ14" s="22">
        <v>0.33</v>
      </c>
      <c r="AR14" s="9"/>
      <c r="AT14">
        <v>21</v>
      </c>
      <c r="AU14" s="117">
        <v>20.047068702868899</v>
      </c>
      <c r="AV14" s="118">
        <v>20.807404107916799</v>
      </c>
      <c r="AW14" s="117">
        <v>21.108067227510301</v>
      </c>
      <c r="AX14" s="118">
        <v>21.978378848559199</v>
      </c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>
      <c r="A15" s="9"/>
      <c r="B15" s="17">
        <v>24</v>
      </c>
      <c r="C15" s="103">
        <v>38.224352641372697</v>
      </c>
      <c r="D15" s="18"/>
      <c r="E15" s="17">
        <v>24</v>
      </c>
      <c r="F15" s="106">
        <v>38.264068578829999</v>
      </c>
      <c r="G15" s="11"/>
      <c r="H15" s="9"/>
      <c r="I15" s="9"/>
      <c r="J15" s="17">
        <v>24</v>
      </c>
      <c r="K15" s="107">
        <v>30.945628406524701</v>
      </c>
      <c r="L15" s="18"/>
      <c r="M15" s="9"/>
      <c r="N15" s="9"/>
      <c r="O15" s="9"/>
      <c r="P15" s="9"/>
      <c r="Q15" s="9">
        <v>8</v>
      </c>
      <c r="R15" s="109">
        <v>12.404376029968301</v>
      </c>
      <c r="S15" s="9"/>
      <c r="T15" s="9"/>
      <c r="U15" s="9"/>
      <c r="V15" s="9"/>
      <c r="W15" s="17">
        <v>24</v>
      </c>
      <c r="X15" s="13">
        <v>7.7499999999999999E-2</v>
      </c>
      <c r="Y15" s="9"/>
      <c r="Z15" s="17"/>
      <c r="AA15" s="14"/>
      <c r="AB15" s="9"/>
      <c r="AC15" s="24">
        <v>4</v>
      </c>
      <c r="AD15" s="19">
        <v>0.06</v>
      </c>
      <c r="AE15" s="9"/>
      <c r="AF15" s="9"/>
      <c r="AG15" s="9">
        <v>21</v>
      </c>
      <c r="AH15" s="181">
        <v>0.25</v>
      </c>
      <c r="AI15" s="9"/>
      <c r="AJ15" s="9">
        <v>21</v>
      </c>
      <c r="AK15" s="183">
        <v>0.23</v>
      </c>
      <c r="AL15" s="9"/>
      <c r="AM15" s="9">
        <v>21</v>
      </c>
      <c r="AN15" s="12">
        <v>6.9000000000000006E-2</v>
      </c>
      <c r="AO15" s="9"/>
      <c r="AP15" s="9">
        <v>2012</v>
      </c>
      <c r="AQ15" s="22">
        <v>0.11</v>
      </c>
      <c r="AR15" s="9"/>
      <c r="AT15">
        <v>22</v>
      </c>
      <c r="AU15" s="117">
        <v>19.696035136399601</v>
      </c>
      <c r="AV15" s="118">
        <v>21.773024420528799</v>
      </c>
      <c r="AW15" s="117">
        <v>20.804465554529202</v>
      </c>
      <c r="AX15" s="118">
        <v>22.998341211205599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>
      <c r="A16" s="9"/>
      <c r="B16" s="17">
        <v>25</v>
      </c>
      <c r="C16" s="103">
        <v>38.173884259700799</v>
      </c>
      <c r="D16" s="18"/>
      <c r="E16" s="17">
        <v>25</v>
      </c>
      <c r="F16" s="106">
        <v>38.224234232311296</v>
      </c>
      <c r="G16" s="11"/>
      <c r="H16" s="9"/>
      <c r="I16" s="9"/>
      <c r="J16" s="17">
        <v>25</v>
      </c>
      <c r="K16" s="107">
        <v>30.5204349517822</v>
      </c>
      <c r="L16" s="18"/>
      <c r="M16" s="9"/>
      <c r="N16" s="9"/>
      <c r="O16" s="9"/>
      <c r="P16" s="9"/>
      <c r="Q16" s="9">
        <v>9</v>
      </c>
      <c r="R16" s="109">
        <v>11.538022041320801</v>
      </c>
      <c r="S16" s="9"/>
      <c r="T16" s="9"/>
      <c r="U16" s="9"/>
      <c r="V16" s="9"/>
      <c r="W16" s="17">
        <v>25</v>
      </c>
      <c r="X16" s="13">
        <v>7.7499999999999999E-2</v>
      </c>
      <c r="Y16" s="9"/>
      <c r="Z16" s="17"/>
      <c r="AA16" s="14"/>
      <c r="AB16" s="9"/>
      <c r="AC16" s="24"/>
      <c r="AD16" s="9"/>
      <c r="AE16" s="24"/>
      <c r="AF16" s="9"/>
      <c r="AG16" s="9">
        <v>22</v>
      </c>
      <c r="AH16" s="181">
        <v>0.25</v>
      </c>
      <c r="AI16" s="9"/>
      <c r="AJ16" s="9">
        <v>22</v>
      </c>
      <c r="AK16" s="183">
        <v>0.23</v>
      </c>
      <c r="AL16" s="9"/>
      <c r="AM16" s="9">
        <v>22</v>
      </c>
      <c r="AN16" s="12">
        <v>6.9000000000000006E-2</v>
      </c>
      <c r="AO16" s="9"/>
      <c r="AP16" s="9">
        <v>2013</v>
      </c>
      <c r="AQ16" s="22">
        <v>0.28639999999999999</v>
      </c>
      <c r="AR16" s="9"/>
      <c r="AT16">
        <v>23</v>
      </c>
      <c r="AU16" s="117">
        <v>20.807404107916799</v>
      </c>
      <c r="AV16" s="118">
        <v>22.882079039600601</v>
      </c>
      <c r="AW16" s="117">
        <v>21.978378848559199</v>
      </c>
      <c r="AX16" s="118">
        <v>24.169809908371501</v>
      </c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>
      <c r="A17" s="9"/>
      <c r="B17" s="17">
        <v>26</v>
      </c>
      <c r="C17" s="103">
        <v>38.259499109916703</v>
      </c>
      <c r="D17" s="18"/>
      <c r="E17" s="17">
        <v>26</v>
      </c>
      <c r="F17" s="106">
        <v>38.330796027873198</v>
      </c>
      <c r="G17" s="11"/>
      <c r="H17" s="11"/>
      <c r="I17" s="9"/>
      <c r="J17" s="17">
        <v>26</v>
      </c>
      <c r="K17" s="107">
        <v>30.082539422988901</v>
      </c>
      <c r="L17" s="18"/>
      <c r="M17" s="9"/>
      <c r="N17" s="9"/>
      <c r="O17" s="9"/>
      <c r="P17" s="9"/>
      <c r="Q17" s="9">
        <v>10</v>
      </c>
      <c r="R17" s="109">
        <v>10.653367996215801</v>
      </c>
      <c r="S17" s="9"/>
      <c r="T17" s="9"/>
      <c r="U17" s="9"/>
      <c r="V17" s="9"/>
      <c r="W17" s="17">
        <v>26</v>
      </c>
      <c r="X17" s="13">
        <v>0.1285</v>
      </c>
      <c r="Y17" s="9"/>
      <c r="Z17" s="17"/>
      <c r="AA17" s="14"/>
      <c r="AB17" s="9"/>
      <c r="AC17" s="23"/>
      <c r="AD17" s="9"/>
      <c r="AE17" s="9"/>
      <c r="AF17" s="9"/>
      <c r="AG17" s="9">
        <v>23</v>
      </c>
      <c r="AH17" s="181">
        <v>0.26</v>
      </c>
      <c r="AI17" s="9"/>
      <c r="AJ17" s="9">
        <v>23</v>
      </c>
      <c r="AK17" s="183">
        <v>0.23</v>
      </c>
      <c r="AL17" s="9"/>
      <c r="AM17" s="9">
        <v>23</v>
      </c>
      <c r="AN17" s="12">
        <v>6.9000000000000006E-2</v>
      </c>
      <c r="AO17" s="9"/>
      <c r="AP17" s="9"/>
      <c r="AQ17" s="9"/>
      <c r="AR17" s="9"/>
      <c r="AT17">
        <v>24</v>
      </c>
      <c r="AU17" s="117">
        <v>21.773024420528799</v>
      </c>
      <c r="AV17" s="118">
        <v>22.936746316967</v>
      </c>
      <c r="AW17" s="117">
        <v>22.998341211205599</v>
      </c>
      <c r="AX17" s="118">
        <v>24.311542907159801</v>
      </c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>
      <c r="A18" s="9"/>
      <c r="B18" s="17">
        <v>27</v>
      </c>
      <c r="C18" s="103">
        <v>38.148488270683302</v>
      </c>
      <c r="D18" s="18"/>
      <c r="E18" s="17">
        <v>27</v>
      </c>
      <c r="F18" s="106">
        <v>38.228715391178902</v>
      </c>
      <c r="G18" s="11"/>
      <c r="H18" s="11"/>
      <c r="I18" s="9"/>
      <c r="J18" s="17">
        <v>27</v>
      </c>
      <c r="K18" s="107">
        <v>29.631360366821301</v>
      </c>
      <c r="L18" s="18"/>
      <c r="M18" s="9"/>
      <c r="N18" s="9"/>
      <c r="O18" s="9"/>
      <c r="P18" s="9"/>
      <c r="Q18" s="9">
        <v>11</v>
      </c>
      <c r="R18" s="109">
        <v>9.7503900527954102</v>
      </c>
      <c r="S18" s="9"/>
      <c r="T18" s="9"/>
      <c r="U18" s="9"/>
      <c r="V18" s="9"/>
      <c r="W18" s="17">
        <v>27</v>
      </c>
      <c r="X18" s="13">
        <v>0.1285</v>
      </c>
      <c r="Y18" s="9"/>
      <c r="Z18" s="17"/>
      <c r="AA18" s="14"/>
      <c r="AB18" s="9"/>
      <c r="AC18" s="9"/>
      <c r="AD18" s="19"/>
      <c r="AE18" s="20"/>
      <c r="AF18" s="9"/>
      <c r="AG18" s="9">
        <v>24</v>
      </c>
      <c r="AH18" s="181">
        <v>0.26</v>
      </c>
      <c r="AI18" s="9"/>
      <c r="AJ18" s="9">
        <v>24</v>
      </c>
      <c r="AK18" s="183">
        <v>0.23</v>
      </c>
      <c r="AL18" s="9"/>
      <c r="AM18" s="9">
        <v>24</v>
      </c>
      <c r="AN18" s="12">
        <v>6.9000000000000006E-2</v>
      </c>
      <c r="AO18" s="9"/>
      <c r="AP18" s="21" t="s">
        <v>7</v>
      </c>
      <c r="AQ18" s="22">
        <f>AVERAGE(AQ2:AQ16)</f>
        <v>0.27042666666666665</v>
      </c>
      <c r="AR18" s="9"/>
      <c r="AT18">
        <v>25</v>
      </c>
      <c r="AU18" s="117">
        <v>22.882079039600601</v>
      </c>
      <c r="AV18" s="118">
        <v>23.891411655188399</v>
      </c>
      <c r="AW18" s="117">
        <v>24.169809908371501</v>
      </c>
      <c r="AX18" s="118">
        <v>25.323429554525202</v>
      </c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>
      <c r="A19" s="9"/>
      <c r="B19" s="17">
        <v>28</v>
      </c>
      <c r="C19" s="103">
        <v>38.227507587890599</v>
      </c>
      <c r="D19" s="18"/>
      <c r="E19" s="17">
        <v>28</v>
      </c>
      <c r="F19" s="106">
        <v>38.328055053515598</v>
      </c>
      <c r="G19" s="11"/>
      <c r="H19" s="11"/>
      <c r="I19" s="9"/>
      <c r="J19" s="17">
        <v>28</v>
      </c>
      <c r="K19" s="107">
        <v>29.166681427002001</v>
      </c>
      <c r="L19" s="18"/>
      <c r="M19" s="9"/>
      <c r="N19" s="9"/>
      <c r="O19" s="9"/>
      <c r="P19" s="9"/>
      <c r="Q19" s="9">
        <v>12</v>
      </c>
      <c r="R19" s="109">
        <v>8.8293294906616193</v>
      </c>
      <c r="S19" s="9"/>
      <c r="T19" s="9"/>
      <c r="U19" s="9"/>
      <c r="V19" s="9"/>
      <c r="W19" s="17">
        <v>28</v>
      </c>
      <c r="X19" s="13">
        <v>0.1285</v>
      </c>
      <c r="Y19" s="9"/>
      <c r="Z19" s="17"/>
      <c r="AA19" s="14"/>
      <c r="AB19" s="9"/>
      <c r="AC19" s="9"/>
      <c r="AD19" s="19"/>
      <c r="AE19" s="20"/>
      <c r="AF19" s="9"/>
      <c r="AG19" s="9">
        <v>25</v>
      </c>
      <c r="AH19" s="181">
        <v>0.26</v>
      </c>
      <c r="AI19" s="9"/>
      <c r="AJ19" s="9">
        <v>25</v>
      </c>
      <c r="AK19" s="183">
        <v>0.24</v>
      </c>
      <c r="AL19" s="9"/>
      <c r="AM19" s="9">
        <v>25</v>
      </c>
      <c r="AN19" s="12">
        <v>8.4000000000000005E-2</v>
      </c>
      <c r="AO19" s="9"/>
      <c r="AP19" s="21" t="s">
        <v>96</v>
      </c>
      <c r="AQ19" s="22">
        <v>0.2</v>
      </c>
      <c r="AR19" s="9"/>
      <c r="AT19">
        <v>26</v>
      </c>
      <c r="AU19" s="117">
        <v>22.936746316967</v>
      </c>
      <c r="AV19" s="118">
        <v>24.710099904203599</v>
      </c>
      <c r="AW19" s="117">
        <v>24.311542907159801</v>
      </c>
      <c r="AX19" s="118">
        <v>26.191188835570198</v>
      </c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>
      <c r="A20" s="9"/>
      <c r="B20" s="17">
        <v>29</v>
      </c>
      <c r="C20" s="103">
        <v>38.380577737407698</v>
      </c>
      <c r="D20" s="18"/>
      <c r="E20" s="17">
        <v>29</v>
      </c>
      <c r="F20" s="106">
        <v>38.511598552257503</v>
      </c>
      <c r="G20" s="11"/>
      <c r="H20" s="11"/>
      <c r="I20" s="9"/>
      <c r="J20" s="17">
        <v>29</v>
      </c>
      <c r="K20" s="107">
        <v>28.688219097137502</v>
      </c>
      <c r="L20" s="18"/>
      <c r="M20" s="9"/>
      <c r="N20" s="9"/>
      <c r="O20" s="9"/>
      <c r="P20" s="9"/>
      <c r="Q20" s="9">
        <v>13</v>
      </c>
      <c r="R20" s="109">
        <v>7.8910336494445801</v>
      </c>
      <c r="S20" s="9"/>
      <c r="T20" s="9"/>
      <c r="U20" s="9"/>
      <c r="V20" s="9"/>
      <c r="W20" s="17">
        <v>29</v>
      </c>
      <c r="X20" s="13">
        <v>0.1285</v>
      </c>
      <c r="Y20" s="9"/>
      <c r="Z20" s="17"/>
      <c r="AA20" s="14"/>
      <c r="AB20" s="9"/>
      <c r="AC20" s="9"/>
      <c r="AD20" s="19"/>
      <c r="AE20" s="20"/>
      <c r="AF20" s="9"/>
      <c r="AG20" s="9">
        <v>26</v>
      </c>
      <c r="AH20" s="181">
        <v>0.27</v>
      </c>
      <c r="AI20" s="9"/>
      <c r="AJ20" s="9">
        <v>26</v>
      </c>
      <c r="AK20" s="183">
        <v>0.24</v>
      </c>
      <c r="AL20" s="9"/>
      <c r="AM20" s="9">
        <v>26</v>
      </c>
      <c r="AN20" s="12">
        <v>8.4000000000000005E-2</v>
      </c>
      <c r="AO20" s="9"/>
      <c r="AP20" s="9"/>
      <c r="AQ20" s="9"/>
      <c r="AR20" s="9"/>
      <c r="AT20">
        <v>27</v>
      </c>
      <c r="AU20" s="117">
        <v>23.891411655188399</v>
      </c>
      <c r="AV20" s="118">
        <v>25.497402805292602</v>
      </c>
      <c r="AW20" s="117">
        <v>25.323429554525202</v>
      </c>
      <c r="AX20" s="118">
        <v>27.025681574699298</v>
      </c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>
      <c r="A21" s="9"/>
      <c r="B21" s="17">
        <v>30</v>
      </c>
      <c r="C21" s="103">
        <v>38.431338999557497</v>
      </c>
      <c r="D21" s="18"/>
      <c r="E21" s="17">
        <v>30</v>
      </c>
      <c r="F21" s="106">
        <v>38.582647685516399</v>
      </c>
      <c r="G21" s="11"/>
      <c r="H21" s="11"/>
      <c r="I21" s="9"/>
      <c r="J21" s="17">
        <v>30</v>
      </c>
      <c r="K21" s="107">
        <v>28.195773630142199</v>
      </c>
      <c r="L21" s="18"/>
      <c r="M21" s="9"/>
      <c r="N21" s="9"/>
      <c r="O21" s="9"/>
      <c r="P21" s="9"/>
      <c r="Q21" s="9">
        <v>14</v>
      </c>
      <c r="R21" s="109">
        <v>6.93648386001587</v>
      </c>
      <c r="S21" s="9"/>
      <c r="T21" s="9"/>
      <c r="U21" s="9"/>
      <c r="V21" s="9"/>
      <c r="W21" s="17">
        <v>30</v>
      </c>
      <c r="X21" s="13">
        <v>0.1285</v>
      </c>
      <c r="Y21" s="9"/>
      <c r="Z21" s="17"/>
      <c r="AA21" s="14"/>
      <c r="AB21" s="9"/>
      <c r="AC21" s="9"/>
      <c r="AD21" s="19"/>
      <c r="AE21" s="20"/>
      <c r="AF21" s="9"/>
      <c r="AG21" s="9">
        <v>27</v>
      </c>
      <c r="AH21" s="181">
        <v>0.28000000000000003</v>
      </c>
      <c r="AI21" s="9"/>
      <c r="AJ21" s="9">
        <v>27</v>
      </c>
      <c r="AK21" s="183">
        <v>0.25</v>
      </c>
      <c r="AL21" s="9"/>
      <c r="AM21" s="9">
        <v>27</v>
      </c>
      <c r="AN21" s="12">
        <v>8.4000000000000005E-2</v>
      </c>
      <c r="AO21" s="9"/>
      <c r="AP21" s="9"/>
      <c r="AQ21" s="9"/>
      <c r="AR21" s="9"/>
      <c r="AT21">
        <v>28</v>
      </c>
      <c r="AU21" s="117">
        <v>24.710099904203599</v>
      </c>
      <c r="AV21" s="118">
        <v>26.473607587029299</v>
      </c>
      <c r="AW21" s="117">
        <v>26.191188835570198</v>
      </c>
      <c r="AX21" s="118">
        <v>28.060398709788799</v>
      </c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>
      <c r="A22" s="9"/>
      <c r="B22" s="17">
        <v>31</v>
      </c>
      <c r="C22" s="103">
        <v>38.604165630035403</v>
      </c>
      <c r="D22" s="18"/>
      <c r="E22" s="17">
        <v>31</v>
      </c>
      <c r="F22" s="106">
        <v>38.789983759933499</v>
      </c>
      <c r="G22" s="11"/>
      <c r="H22" s="11"/>
      <c r="I22" s="9"/>
      <c r="J22" s="17">
        <v>31</v>
      </c>
      <c r="K22" s="107">
        <v>27.688939937591599</v>
      </c>
      <c r="L22" s="18"/>
      <c r="M22" s="9"/>
      <c r="N22" s="9"/>
      <c r="O22" s="9"/>
      <c r="P22" s="9"/>
      <c r="Q22" s="9">
        <v>15</v>
      </c>
      <c r="R22" s="109">
        <v>5.9675145149231001</v>
      </c>
      <c r="S22" s="9"/>
      <c r="T22" s="9"/>
      <c r="U22" s="9"/>
      <c r="V22" s="9"/>
      <c r="W22" s="17">
        <v>31</v>
      </c>
      <c r="X22" s="13">
        <v>0.1285</v>
      </c>
      <c r="Y22" s="9"/>
      <c r="Z22" s="17"/>
      <c r="AA22" s="14"/>
      <c r="AB22" s="9"/>
      <c r="AC22" s="9"/>
      <c r="AD22" s="19"/>
      <c r="AE22" s="20"/>
      <c r="AF22" s="9"/>
      <c r="AG22" s="9">
        <v>28</v>
      </c>
      <c r="AH22" s="181">
        <v>0.28999999999999998</v>
      </c>
      <c r="AI22" s="9"/>
      <c r="AJ22" s="9">
        <v>28</v>
      </c>
      <c r="AK22" s="183">
        <v>0.26</v>
      </c>
      <c r="AL22" s="9"/>
      <c r="AM22" s="9">
        <v>28</v>
      </c>
      <c r="AN22" s="12">
        <v>8.4000000000000005E-2</v>
      </c>
      <c r="AO22" s="9"/>
      <c r="AP22" s="9"/>
      <c r="AQ22" s="9"/>
      <c r="AR22" s="9"/>
      <c r="AT22">
        <v>29</v>
      </c>
      <c r="AU22" s="117">
        <v>25.497402805292602</v>
      </c>
      <c r="AV22" s="118">
        <v>26.253160412238302</v>
      </c>
      <c r="AW22" s="117">
        <v>27.025681574699298</v>
      </c>
      <c r="AX22" s="118">
        <v>27.932924514279801</v>
      </c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>
      <c r="A23" s="9"/>
      <c r="B23" s="17">
        <v>32</v>
      </c>
      <c r="C23" s="103">
        <v>38.6744988110352</v>
      </c>
      <c r="D23" s="18"/>
      <c r="E23" s="17">
        <v>32</v>
      </c>
      <c r="F23" s="106">
        <v>38.891407295391801</v>
      </c>
      <c r="G23" s="11"/>
      <c r="H23" s="11"/>
      <c r="I23" s="9"/>
      <c r="J23" s="17">
        <v>32</v>
      </c>
      <c r="K23" s="107">
        <v>27.167942848205598</v>
      </c>
      <c r="L23" s="18"/>
      <c r="M23" s="9"/>
      <c r="N23" s="9"/>
      <c r="O23" s="9"/>
      <c r="P23" s="9"/>
      <c r="Q23" s="9">
        <v>16</v>
      </c>
      <c r="R23" s="109">
        <v>4.9865984916687003</v>
      </c>
      <c r="S23" s="9"/>
      <c r="T23" s="9"/>
      <c r="U23" s="9"/>
      <c r="V23" s="9"/>
      <c r="W23" s="17">
        <v>32</v>
      </c>
      <c r="X23" s="13">
        <v>0.1285</v>
      </c>
      <c r="Y23" s="9"/>
      <c r="Z23" s="17"/>
      <c r="AA23" s="14"/>
      <c r="AB23" s="9"/>
      <c r="AC23" s="9"/>
      <c r="AD23" s="19"/>
      <c r="AE23" s="20"/>
      <c r="AF23" s="9"/>
      <c r="AG23" s="9">
        <v>29</v>
      </c>
      <c r="AH23" s="181">
        <v>0.31</v>
      </c>
      <c r="AI23" s="9"/>
      <c r="AJ23" s="9">
        <v>29</v>
      </c>
      <c r="AK23" s="183">
        <v>0.28000000000000003</v>
      </c>
      <c r="AL23" s="9"/>
      <c r="AM23" s="9">
        <v>29</v>
      </c>
      <c r="AN23" s="12">
        <v>8.4000000000000005E-2</v>
      </c>
      <c r="AO23" s="9"/>
      <c r="AP23" s="9"/>
      <c r="AQ23" s="9"/>
      <c r="AR23" s="9"/>
      <c r="AT23">
        <v>30</v>
      </c>
      <c r="AU23" s="117">
        <v>26.473607587029299</v>
      </c>
      <c r="AV23" s="118">
        <v>27.1351825800709</v>
      </c>
      <c r="AW23" s="117">
        <v>28.060398709788799</v>
      </c>
      <c r="AX23" s="118">
        <v>28.8713813799341</v>
      </c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>
      <c r="A24" s="9"/>
      <c r="B24" s="17">
        <v>33</v>
      </c>
      <c r="C24" s="103">
        <v>38.6811280137062</v>
      </c>
      <c r="D24" s="18"/>
      <c r="E24" s="17">
        <v>33</v>
      </c>
      <c r="F24" s="106">
        <v>38.918702134796902</v>
      </c>
      <c r="G24" s="11"/>
      <c r="H24" s="11"/>
      <c r="I24" s="9"/>
      <c r="J24" s="17">
        <v>33</v>
      </c>
      <c r="K24" s="107">
        <v>26.632204627990699</v>
      </c>
      <c r="L24" s="18"/>
      <c r="M24" s="9"/>
      <c r="N24" s="9"/>
      <c r="O24" s="9"/>
      <c r="P24" s="9"/>
      <c r="Q24" s="9">
        <v>17</v>
      </c>
      <c r="R24" s="109">
        <v>3.9964826107025102</v>
      </c>
      <c r="S24" s="9"/>
      <c r="T24" s="9"/>
      <c r="U24" s="9"/>
      <c r="V24" s="9"/>
      <c r="W24" s="17">
        <v>33</v>
      </c>
      <c r="X24" s="13">
        <v>0.1285</v>
      </c>
      <c r="Y24" s="9"/>
      <c r="Z24" s="17"/>
      <c r="AA24" s="14"/>
      <c r="AB24" s="9"/>
      <c r="AC24" s="9"/>
      <c r="AD24" s="19"/>
      <c r="AE24" s="20"/>
      <c r="AF24" s="9"/>
      <c r="AG24" s="9">
        <v>30</v>
      </c>
      <c r="AH24" s="181">
        <v>0.33</v>
      </c>
      <c r="AI24" s="9"/>
      <c r="AJ24" s="9">
        <v>30</v>
      </c>
      <c r="AK24" s="183">
        <v>0.28999999999999998</v>
      </c>
      <c r="AL24" s="9"/>
      <c r="AM24" s="9">
        <v>30</v>
      </c>
      <c r="AN24" s="12">
        <v>9.8000000000000004E-2</v>
      </c>
      <c r="AO24" s="9"/>
      <c r="AP24" s="9"/>
      <c r="AQ24" s="9"/>
      <c r="AR24" s="9"/>
      <c r="AT24">
        <v>31</v>
      </c>
      <c r="AU24" s="117">
        <v>26.253160412238302</v>
      </c>
      <c r="AV24" s="118">
        <v>28.2087426225795</v>
      </c>
      <c r="AW24" s="117">
        <v>27.932924514279801</v>
      </c>
      <c r="AX24" s="118">
        <v>30.013631347483201</v>
      </c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>
      <c r="A25" s="9"/>
      <c r="B25" s="17">
        <v>34</v>
      </c>
      <c r="C25" s="103">
        <v>38.680625573577899</v>
      </c>
      <c r="D25" s="18"/>
      <c r="E25" s="17">
        <v>34</v>
      </c>
      <c r="F25" s="106">
        <v>38.957196111138899</v>
      </c>
      <c r="G25" s="11"/>
      <c r="H25" s="11"/>
      <c r="I25" s="9"/>
      <c r="J25" s="17">
        <v>34</v>
      </c>
      <c r="K25" s="107">
        <v>26.081846111297601</v>
      </c>
      <c r="L25" s="18"/>
      <c r="M25" s="9"/>
      <c r="N25" s="9"/>
      <c r="O25" s="9"/>
      <c r="P25" s="9"/>
      <c r="Q25" s="9">
        <v>18</v>
      </c>
      <c r="R25" s="109">
        <v>3.0001409053802499</v>
      </c>
      <c r="S25" s="9"/>
      <c r="T25" s="9"/>
      <c r="U25" s="9"/>
      <c r="V25" s="9"/>
      <c r="W25" s="17">
        <v>34</v>
      </c>
      <c r="X25" s="13">
        <v>0.1285</v>
      </c>
      <c r="Y25" s="9"/>
      <c r="Z25" s="17"/>
      <c r="AA25" s="14"/>
      <c r="AB25" s="9"/>
      <c r="AC25" s="21"/>
      <c r="AD25" s="19"/>
      <c r="AE25" s="20"/>
      <c r="AF25" s="9"/>
      <c r="AG25" s="9">
        <v>31</v>
      </c>
      <c r="AH25" s="181">
        <v>0.35</v>
      </c>
      <c r="AI25" s="9"/>
      <c r="AJ25" s="9">
        <v>31</v>
      </c>
      <c r="AK25" s="183">
        <v>0.31</v>
      </c>
      <c r="AL25" s="9"/>
      <c r="AM25" s="9">
        <v>31</v>
      </c>
      <c r="AN25" s="12">
        <v>9.8000000000000004E-2</v>
      </c>
      <c r="AO25" s="9"/>
      <c r="AP25" s="9"/>
      <c r="AQ25" s="9"/>
      <c r="AR25" s="9"/>
      <c r="AT25">
        <v>32</v>
      </c>
      <c r="AU25" s="117">
        <v>27.1351825800709</v>
      </c>
      <c r="AV25" s="118">
        <v>27.914974313942601</v>
      </c>
      <c r="AW25" s="117">
        <v>28.8713813799341</v>
      </c>
      <c r="AX25" s="118">
        <v>29.826860199185599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>
      <c r="A26" s="9"/>
      <c r="B26" s="17">
        <v>35</v>
      </c>
      <c r="C26" s="103">
        <v>38.6551249623299</v>
      </c>
      <c r="D26" s="18"/>
      <c r="E26" s="17">
        <v>35</v>
      </c>
      <c r="F26" s="106">
        <v>38.952933048740398</v>
      </c>
      <c r="G26" s="11"/>
      <c r="H26" s="11"/>
      <c r="I26" s="9"/>
      <c r="J26" s="17">
        <v>35</v>
      </c>
      <c r="K26" s="107">
        <v>25.5167921495438</v>
      </c>
      <c r="L26" s="18"/>
      <c r="M26" s="9"/>
      <c r="N26" s="9"/>
      <c r="O26" s="9"/>
      <c r="P26" s="9"/>
      <c r="Q26" s="9">
        <v>19</v>
      </c>
      <c r="R26" s="109">
        <v>2.00057029724121</v>
      </c>
      <c r="S26" s="9"/>
      <c r="T26" s="9"/>
      <c r="U26" s="9"/>
      <c r="V26" s="9"/>
      <c r="W26" s="17">
        <v>35</v>
      </c>
      <c r="X26" s="13">
        <v>0.1285</v>
      </c>
      <c r="Y26" s="9"/>
      <c r="Z26" s="17"/>
      <c r="AA26" s="14"/>
      <c r="AB26" s="9"/>
      <c r="AC26" s="9"/>
      <c r="AD26" s="19"/>
      <c r="AE26" s="9"/>
      <c r="AF26" s="9"/>
      <c r="AG26" s="9">
        <v>32</v>
      </c>
      <c r="AH26" s="181">
        <v>0.37</v>
      </c>
      <c r="AI26" s="9"/>
      <c r="AJ26" s="9">
        <v>32</v>
      </c>
      <c r="AK26" s="183">
        <v>0.33</v>
      </c>
      <c r="AL26" s="9"/>
      <c r="AM26" s="9">
        <v>32</v>
      </c>
      <c r="AN26" s="12">
        <v>9.8000000000000004E-2</v>
      </c>
      <c r="AO26" s="9"/>
      <c r="AP26" s="9"/>
      <c r="AQ26" s="9"/>
      <c r="AR26" s="9"/>
      <c r="AT26">
        <v>33</v>
      </c>
      <c r="AU26" s="117">
        <v>28.2087426225795</v>
      </c>
      <c r="AV26" s="118">
        <v>29.058050030634</v>
      </c>
      <c r="AW26" s="117">
        <v>30.013631347483201</v>
      </c>
      <c r="AX26" s="118">
        <v>31.0482247333385</v>
      </c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>
      <c r="A27" s="9"/>
      <c r="B27" s="17">
        <v>36</v>
      </c>
      <c r="C27" s="103">
        <v>38.373049200439503</v>
      </c>
      <c r="D27" s="18"/>
      <c r="E27" s="17">
        <v>36</v>
      </c>
      <c r="F27" s="106">
        <v>38.698251272168001</v>
      </c>
      <c r="G27" s="11"/>
      <c r="H27" s="11"/>
      <c r="I27" s="9"/>
      <c r="J27" s="17">
        <v>36</v>
      </c>
      <c r="K27" s="107">
        <v>24.936773857116702</v>
      </c>
      <c r="L27" s="18"/>
      <c r="M27" s="9"/>
      <c r="N27" s="9"/>
      <c r="O27" s="9"/>
      <c r="P27" s="9"/>
      <c r="Q27" s="9">
        <v>20</v>
      </c>
      <c r="R27" s="109">
        <v>1.0001679658889799</v>
      </c>
      <c r="S27" s="9"/>
      <c r="T27" s="9"/>
      <c r="U27" s="9"/>
      <c r="V27" s="9"/>
      <c r="W27" s="17">
        <v>36</v>
      </c>
      <c r="X27" s="13">
        <v>0.106</v>
      </c>
      <c r="Y27" s="9"/>
      <c r="Z27" s="17"/>
      <c r="AA27" s="14"/>
      <c r="AB27" s="9"/>
      <c r="AC27" s="9"/>
      <c r="AD27" s="9"/>
      <c r="AE27" s="9"/>
      <c r="AF27" s="9"/>
      <c r="AG27" s="9">
        <v>33</v>
      </c>
      <c r="AH27" s="181">
        <v>0.39</v>
      </c>
      <c r="AI27" s="9"/>
      <c r="AJ27" s="9">
        <v>33</v>
      </c>
      <c r="AK27" s="183">
        <v>0.35</v>
      </c>
      <c r="AL27" s="9"/>
      <c r="AM27" s="9">
        <v>33</v>
      </c>
      <c r="AN27" s="12">
        <v>9.8000000000000004E-2</v>
      </c>
      <c r="AO27" s="9"/>
      <c r="AP27" s="9"/>
      <c r="AQ27" s="9"/>
      <c r="AR27" s="9"/>
      <c r="AT27">
        <v>34</v>
      </c>
      <c r="AU27" s="117">
        <v>27.914974313942601</v>
      </c>
      <c r="AV27" s="118">
        <v>28.514208523290499</v>
      </c>
      <c r="AW27" s="117">
        <v>29.826860199185599</v>
      </c>
      <c r="AX27" s="118">
        <v>30.6115513187221</v>
      </c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>
      <c r="A28" s="9"/>
      <c r="B28" s="17">
        <v>37</v>
      </c>
      <c r="C28" s="103">
        <v>38.211992526035303</v>
      </c>
      <c r="D28" s="18"/>
      <c r="E28" s="17">
        <v>37</v>
      </c>
      <c r="F28" s="106">
        <v>38.561472415035198</v>
      </c>
      <c r="G28" s="11"/>
      <c r="H28" s="11"/>
      <c r="I28" s="9"/>
      <c r="J28" s="17">
        <v>37</v>
      </c>
      <c r="K28" s="107">
        <v>24.3418368349075</v>
      </c>
      <c r="L28" s="18"/>
      <c r="M28" s="9"/>
      <c r="N28" s="9"/>
      <c r="O28" s="9"/>
      <c r="P28" s="9"/>
      <c r="Q28" s="9">
        <v>21</v>
      </c>
      <c r="R28" s="109">
        <v>0</v>
      </c>
      <c r="S28" s="9"/>
      <c r="T28" s="9"/>
      <c r="U28" s="9"/>
      <c r="V28" s="9"/>
      <c r="W28" s="17">
        <v>37</v>
      </c>
      <c r="X28" s="13">
        <v>0.106</v>
      </c>
      <c r="Y28" s="9"/>
      <c r="Z28" s="17"/>
      <c r="AA28" s="14"/>
      <c r="AB28" s="9"/>
      <c r="AC28" s="9"/>
      <c r="AD28" s="9"/>
      <c r="AE28" s="9"/>
      <c r="AF28" s="9"/>
      <c r="AG28" s="9">
        <v>34</v>
      </c>
      <c r="AH28" s="181">
        <v>0.41</v>
      </c>
      <c r="AI28" s="9"/>
      <c r="AJ28" s="9">
        <v>34</v>
      </c>
      <c r="AK28" s="183">
        <v>0.37</v>
      </c>
      <c r="AL28" s="9"/>
      <c r="AM28" s="9">
        <v>34</v>
      </c>
      <c r="AN28" s="12">
        <v>9.8000000000000004E-2</v>
      </c>
      <c r="AO28" s="9"/>
      <c r="AP28" s="9"/>
      <c r="AQ28" s="9"/>
      <c r="AR28" s="9"/>
      <c r="AT28">
        <v>35</v>
      </c>
      <c r="AU28" s="117">
        <v>29.058050030634</v>
      </c>
      <c r="AV28" s="118">
        <v>29.353768547577801</v>
      </c>
      <c r="AW28" s="117">
        <v>31.0482247333385</v>
      </c>
      <c r="AX28" s="118">
        <v>31.512864597245201</v>
      </c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>
      <c r="A29" s="9"/>
      <c r="B29" s="17">
        <v>38</v>
      </c>
      <c r="C29" s="103">
        <v>37.866233703651403</v>
      </c>
      <c r="D29" s="18"/>
      <c r="E29" s="17">
        <v>38</v>
      </c>
      <c r="F29" s="106">
        <v>38.233939661662298</v>
      </c>
      <c r="G29" s="11"/>
      <c r="H29" s="11"/>
      <c r="I29" s="9"/>
      <c r="J29" s="17">
        <v>38</v>
      </c>
      <c r="K29" s="107">
        <v>23.7317619457245</v>
      </c>
      <c r="L29" s="18"/>
      <c r="M29" s="9"/>
      <c r="N29" s="9"/>
      <c r="O29" s="9"/>
      <c r="P29" s="9"/>
      <c r="Q29" s="9"/>
      <c r="R29" s="9"/>
      <c r="S29" s="9"/>
      <c r="T29" s="9"/>
      <c r="U29" s="9"/>
      <c r="V29" s="9"/>
      <c r="W29" s="17">
        <v>38</v>
      </c>
      <c r="X29" s="13">
        <v>0.106</v>
      </c>
      <c r="Y29" s="9"/>
      <c r="Z29" s="17"/>
      <c r="AA29" s="14"/>
      <c r="AB29" s="9"/>
      <c r="AC29" s="9"/>
      <c r="AD29" s="9"/>
      <c r="AE29" s="9"/>
      <c r="AF29" s="9"/>
      <c r="AG29" s="9">
        <v>35</v>
      </c>
      <c r="AH29" s="181">
        <v>0.45</v>
      </c>
      <c r="AI29" s="9"/>
      <c r="AJ29" s="9">
        <v>35</v>
      </c>
      <c r="AK29" s="183">
        <v>0.4</v>
      </c>
      <c r="AL29" s="9"/>
      <c r="AM29" s="9">
        <v>35</v>
      </c>
      <c r="AN29" s="12">
        <v>0.11899999999999999</v>
      </c>
      <c r="AO29" s="9"/>
      <c r="AP29" s="9"/>
      <c r="AQ29" s="9"/>
      <c r="AR29" s="9"/>
      <c r="AT29">
        <v>36</v>
      </c>
      <c r="AU29" s="117">
        <v>28.514208523290499</v>
      </c>
      <c r="AV29" s="118">
        <v>28.460403897778001</v>
      </c>
      <c r="AW29" s="117">
        <v>30.6115513187221</v>
      </c>
      <c r="AX29" s="118">
        <v>30.717398848894099</v>
      </c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>
      <c r="A30" s="9"/>
      <c r="B30" s="17">
        <v>39</v>
      </c>
      <c r="C30" s="103">
        <v>37.398230952768301</v>
      </c>
      <c r="D30" s="18"/>
      <c r="E30" s="17">
        <v>39</v>
      </c>
      <c r="F30" s="106">
        <v>37.788010829427698</v>
      </c>
      <c r="G30" s="11"/>
      <c r="H30" s="11"/>
      <c r="I30" s="9"/>
      <c r="J30" s="17">
        <v>39</v>
      </c>
      <c r="K30" s="107">
        <v>23.106930829048199</v>
      </c>
      <c r="L30" s="18"/>
      <c r="M30" s="9"/>
      <c r="N30" s="9"/>
      <c r="O30" s="9"/>
      <c r="P30" s="9"/>
      <c r="Q30" s="9"/>
      <c r="R30" s="9"/>
      <c r="S30" s="9"/>
      <c r="T30" s="9"/>
      <c r="U30" s="9"/>
      <c r="V30" s="9"/>
      <c r="W30" s="17">
        <v>39</v>
      </c>
      <c r="X30" s="13">
        <v>0.106</v>
      </c>
      <c r="Y30" s="9"/>
      <c r="Z30" s="17"/>
      <c r="AA30" s="14"/>
      <c r="AB30" s="9"/>
      <c r="AC30" s="9"/>
      <c r="AD30" s="9"/>
      <c r="AE30" s="9"/>
      <c r="AF30" s="9"/>
      <c r="AG30" s="9">
        <v>36</v>
      </c>
      <c r="AH30" s="181">
        <v>0.49</v>
      </c>
      <c r="AI30" s="9"/>
      <c r="AJ30" s="9">
        <v>36</v>
      </c>
      <c r="AK30" s="183">
        <v>0.44</v>
      </c>
      <c r="AL30" s="9"/>
      <c r="AM30" s="9">
        <v>36</v>
      </c>
      <c r="AN30" s="12">
        <v>0.11899999999999999</v>
      </c>
      <c r="AO30" s="9"/>
      <c r="AP30" s="9"/>
      <c r="AQ30" s="9"/>
      <c r="AR30" s="9"/>
      <c r="AT30">
        <v>37</v>
      </c>
      <c r="AU30" s="117">
        <v>29.353768547577801</v>
      </c>
      <c r="AV30" s="118">
        <v>27.180780726644699</v>
      </c>
      <c r="AW30" s="117">
        <v>31.512864597245201</v>
      </c>
      <c r="AX30" s="118">
        <v>29.516193490905401</v>
      </c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>
      <c r="A31" s="9"/>
      <c r="B31" s="17">
        <v>40</v>
      </c>
      <c r="C31" s="103">
        <v>36.989627950286902</v>
      </c>
      <c r="D31" s="18"/>
      <c r="E31" s="17">
        <v>40</v>
      </c>
      <c r="F31" s="106">
        <v>37.3898259828186</v>
      </c>
      <c r="G31" s="11"/>
      <c r="H31" s="11"/>
      <c r="I31" s="9"/>
      <c r="J31" s="17">
        <v>40</v>
      </c>
      <c r="K31" s="107">
        <v>22.4671222686768</v>
      </c>
      <c r="L31" s="18"/>
      <c r="M31" s="9"/>
      <c r="N31" s="9"/>
      <c r="O31" s="9"/>
      <c r="P31" s="9"/>
      <c r="Q31" s="9"/>
      <c r="R31" s="9"/>
      <c r="S31" s="9"/>
      <c r="T31" s="9"/>
      <c r="U31" s="9"/>
      <c r="V31" s="9"/>
      <c r="W31" s="17">
        <v>40</v>
      </c>
      <c r="X31" s="13">
        <v>0.106</v>
      </c>
      <c r="Y31" s="9"/>
      <c r="Z31" s="17"/>
      <c r="AA31" s="14"/>
      <c r="AB31" s="9"/>
      <c r="AC31" s="9"/>
      <c r="AD31" s="9"/>
      <c r="AE31" s="9"/>
      <c r="AF31" s="9"/>
      <c r="AG31" s="9">
        <v>37</v>
      </c>
      <c r="AH31" s="181">
        <v>0.54</v>
      </c>
      <c r="AI31" s="9"/>
      <c r="AJ31" s="9">
        <v>37</v>
      </c>
      <c r="AK31" s="183">
        <v>0.48</v>
      </c>
      <c r="AL31" s="9"/>
      <c r="AM31" s="9">
        <v>37</v>
      </c>
      <c r="AN31" s="12">
        <v>0.11899999999999999</v>
      </c>
      <c r="AO31" s="9"/>
      <c r="AP31" s="9"/>
      <c r="AQ31" s="9"/>
      <c r="AR31" s="9"/>
      <c r="AT31">
        <v>38</v>
      </c>
      <c r="AU31" s="117">
        <v>28.460403897778001</v>
      </c>
      <c r="AV31" s="118">
        <v>27.603670997023301</v>
      </c>
      <c r="AW31" s="117">
        <v>30.717398848894099</v>
      </c>
      <c r="AX31" s="118">
        <v>29.975419116962499</v>
      </c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>
      <c r="A32" s="9"/>
      <c r="B32" s="17">
        <v>41</v>
      </c>
      <c r="C32" s="103">
        <v>36.294586318235403</v>
      </c>
      <c r="D32" s="18"/>
      <c r="E32" s="17">
        <v>41</v>
      </c>
      <c r="F32" s="106">
        <v>36.702559089058298</v>
      </c>
      <c r="G32" s="11"/>
      <c r="H32" s="11"/>
      <c r="I32" s="9"/>
      <c r="J32" s="17">
        <v>41</v>
      </c>
      <c r="K32" s="107">
        <v>21.812902901649501</v>
      </c>
      <c r="L32" s="18"/>
      <c r="M32" s="9"/>
      <c r="N32" s="9"/>
      <c r="O32" s="9"/>
      <c r="P32" s="9"/>
      <c r="Q32" s="9"/>
      <c r="R32" s="9"/>
      <c r="S32" s="9"/>
      <c r="T32" s="9"/>
      <c r="U32" s="9"/>
      <c r="V32" s="9"/>
      <c r="W32" s="17">
        <v>41</v>
      </c>
      <c r="X32" s="13">
        <v>9.1499999999999998E-2</v>
      </c>
      <c r="Y32" s="9"/>
      <c r="Z32" s="17"/>
      <c r="AA32" s="14"/>
      <c r="AB32" s="9"/>
      <c r="AC32" s="9"/>
      <c r="AD32" s="9"/>
      <c r="AE32" s="9"/>
      <c r="AF32" s="9"/>
      <c r="AG32" s="9">
        <v>38</v>
      </c>
      <c r="AH32" s="181">
        <v>0.6</v>
      </c>
      <c r="AI32" s="9"/>
      <c r="AJ32" s="9">
        <v>38</v>
      </c>
      <c r="AK32" s="183">
        <v>0.53</v>
      </c>
      <c r="AL32" s="9"/>
      <c r="AM32" s="9">
        <v>38</v>
      </c>
      <c r="AN32" s="12">
        <v>0.11899999999999999</v>
      </c>
      <c r="AO32" s="9"/>
      <c r="AP32" s="9"/>
      <c r="AQ32" s="9"/>
      <c r="AR32" s="9"/>
      <c r="AT32">
        <v>39</v>
      </c>
      <c r="AU32" s="117">
        <v>27.180780726644699</v>
      </c>
      <c r="AV32" s="118">
        <v>26.070422503322298</v>
      </c>
      <c r="AW32" s="117">
        <v>29.516193490905401</v>
      </c>
      <c r="AX32" s="118">
        <v>28.511639591374401</v>
      </c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>
      <c r="A33" s="9"/>
      <c r="B33" s="17">
        <v>42</v>
      </c>
      <c r="C33" s="103">
        <v>35.742257562408398</v>
      </c>
      <c r="D33" s="18"/>
      <c r="E33" s="17">
        <v>42</v>
      </c>
      <c r="F33" s="106">
        <v>36.174553152093502</v>
      </c>
      <c r="G33" s="11"/>
      <c r="H33" s="11"/>
      <c r="I33" s="9"/>
      <c r="J33" s="17">
        <v>42</v>
      </c>
      <c r="K33" s="107">
        <v>21.144461397171</v>
      </c>
      <c r="L33" s="18"/>
      <c r="M33" s="9"/>
      <c r="N33" s="9"/>
      <c r="O33" s="9"/>
      <c r="P33" s="9"/>
      <c r="Q33" s="9"/>
      <c r="R33" s="9"/>
      <c r="S33" s="9"/>
      <c r="T33" s="9"/>
      <c r="U33" s="9"/>
      <c r="V33" s="9"/>
      <c r="W33" s="17">
        <v>42</v>
      </c>
      <c r="X33" s="13">
        <v>9.1499999999999998E-2</v>
      </c>
      <c r="Y33" s="9"/>
      <c r="Z33" s="17"/>
      <c r="AA33" s="14"/>
      <c r="AB33" s="9"/>
      <c r="AC33" s="9"/>
      <c r="AD33" s="9"/>
      <c r="AE33" s="9"/>
      <c r="AF33" s="9"/>
      <c r="AG33" s="9">
        <v>39</v>
      </c>
      <c r="AH33" s="181">
        <v>0.67</v>
      </c>
      <c r="AI33" s="9"/>
      <c r="AJ33" s="9">
        <v>39</v>
      </c>
      <c r="AK33" s="183">
        <v>0.59</v>
      </c>
      <c r="AL33" s="9"/>
      <c r="AM33" s="9">
        <v>39</v>
      </c>
      <c r="AN33" s="12">
        <v>0.11899999999999999</v>
      </c>
      <c r="AO33" s="9"/>
      <c r="AP33" s="9"/>
      <c r="AQ33" s="9"/>
      <c r="AR33" s="9"/>
      <c r="AT33">
        <v>40</v>
      </c>
      <c r="AU33" s="117">
        <v>27.603670997023301</v>
      </c>
      <c r="AV33" s="118">
        <v>24.568872973299801</v>
      </c>
      <c r="AW33" s="117">
        <v>29.975419116962499</v>
      </c>
      <c r="AX33" s="118">
        <v>27.092743563868201</v>
      </c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>
      <c r="A34" s="9"/>
      <c r="B34" s="17">
        <v>43</v>
      </c>
      <c r="C34" s="103">
        <v>35.005261377658798</v>
      </c>
      <c r="D34" s="18"/>
      <c r="E34" s="17">
        <v>43</v>
      </c>
      <c r="F34" s="106">
        <v>35.446369458271</v>
      </c>
      <c r="G34" s="11"/>
      <c r="H34" s="11"/>
      <c r="I34" s="9"/>
      <c r="J34" s="17">
        <v>43</v>
      </c>
      <c r="K34" s="107">
        <v>20.4622150812149</v>
      </c>
      <c r="L34" s="18"/>
      <c r="M34" s="9"/>
      <c r="N34" s="9"/>
      <c r="O34" s="9"/>
      <c r="P34" s="9"/>
      <c r="Q34" s="9"/>
      <c r="R34" s="9"/>
      <c r="S34" s="9"/>
      <c r="T34" s="9"/>
      <c r="U34" s="9"/>
      <c r="V34" s="9"/>
      <c r="W34" s="17">
        <v>43</v>
      </c>
      <c r="X34" s="13">
        <v>9.1499999999999998E-2</v>
      </c>
      <c r="Y34" s="9"/>
      <c r="Z34" s="17"/>
      <c r="AA34" s="14"/>
      <c r="AB34" s="9"/>
      <c r="AC34" s="9"/>
      <c r="AD34" s="9"/>
      <c r="AE34" s="9"/>
      <c r="AF34" s="9"/>
      <c r="AG34" s="9">
        <v>40</v>
      </c>
      <c r="AH34" s="181">
        <v>0.72</v>
      </c>
      <c r="AI34" s="9"/>
      <c r="AJ34" s="9">
        <v>40</v>
      </c>
      <c r="AK34" s="183">
        <v>0.64</v>
      </c>
      <c r="AL34" s="9"/>
      <c r="AM34" s="9">
        <v>40</v>
      </c>
      <c r="AN34" s="12">
        <v>0.13200000000000001</v>
      </c>
      <c r="AO34" s="9"/>
      <c r="AP34" s="9"/>
      <c r="AQ34" s="9"/>
      <c r="AR34" s="9"/>
      <c r="AT34">
        <v>41</v>
      </c>
      <c r="AU34" s="117">
        <v>26.070422503322298</v>
      </c>
      <c r="AV34" s="118">
        <v>22.919533352794002</v>
      </c>
      <c r="AW34" s="117">
        <v>28.511639591374401</v>
      </c>
      <c r="AX34" s="118">
        <v>25.522198040133201</v>
      </c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>
      <c r="A35" s="9"/>
      <c r="B35" s="17">
        <v>44</v>
      </c>
      <c r="C35" s="103">
        <v>34.252007400665299</v>
      </c>
      <c r="D35" s="18"/>
      <c r="E35" s="17">
        <v>44</v>
      </c>
      <c r="F35" s="106">
        <v>34.702115651702897</v>
      </c>
      <c r="G35" s="11"/>
      <c r="H35" s="11"/>
      <c r="I35" s="9"/>
      <c r="J35" s="17">
        <v>44</v>
      </c>
      <c r="K35" s="107">
        <v>19.766031127929701</v>
      </c>
      <c r="L35" s="18"/>
      <c r="M35" s="9"/>
      <c r="N35" s="9"/>
      <c r="O35" s="9"/>
      <c r="P35" s="9"/>
      <c r="Q35" s="9"/>
      <c r="R35" s="9"/>
      <c r="S35" s="9"/>
      <c r="T35" s="9"/>
      <c r="U35" s="9"/>
      <c r="V35" s="9"/>
      <c r="W35" s="17">
        <v>44</v>
      </c>
      <c r="X35" s="13">
        <v>9.1499999999999998E-2</v>
      </c>
      <c r="Y35" s="9"/>
      <c r="Z35" s="17"/>
      <c r="AA35" s="14"/>
      <c r="AB35" s="9"/>
      <c r="AC35" s="9"/>
      <c r="AD35" s="9"/>
      <c r="AE35" s="9"/>
      <c r="AF35" s="9"/>
      <c r="AG35" s="9">
        <v>41</v>
      </c>
      <c r="AH35" s="181">
        <v>0.77</v>
      </c>
      <c r="AI35" s="9"/>
      <c r="AJ35" s="9">
        <v>41</v>
      </c>
      <c r="AK35" s="183">
        <v>0.68</v>
      </c>
      <c r="AL35" s="9"/>
      <c r="AM35" s="9">
        <v>41</v>
      </c>
      <c r="AN35" s="12">
        <v>0.13200000000000001</v>
      </c>
      <c r="AO35" s="9"/>
      <c r="AP35" s="9"/>
      <c r="AQ35" s="9"/>
      <c r="AR35" s="9"/>
      <c r="AT35">
        <v>42</v>
      </c>
      <c r="AU35" s="117">
        <v>24.568872973299801</v>
      </c>
      <c r="AV35" s="118">
        <v>21.116461348662</v>
      </c>
      <c r="AW35" s="117">
        <v>27.092743563868201</v>
      </c>
      <c r="AX35" s="118">
        <v>23.7910593590939</v>
      </c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>
      <c r="A36" s="9"/>
      <c r="B36" s="17">
        <v>45</v>
      </c>
      <c r="C36" s="103">
        <v>33.512533876061397</v>
      </c>
      <c r="D36" s="18"/>
      <c r="E36" s="17">
        <v>45</v>
      </c>
      <c r="F36" s="106">
        <v>33.979295726180098</v>
      </c>
      <c r="G36" s="11"/>
      <c r="H36" s="11"/>
      <c r="I36" s="9"/>
      <c r="J36" s="17">
        <v>45</v>
      </c>
      <c r="K36" s="107">
        <v>19.057460546493498</v>
      </c>
      <c r="L36" s="18"/>
      <c r="M36" s="9"/>
      <c r="N36" s="9"/>
      <c r="O36" s="9"/>
      <c r="P36" s="9"/>
      <c r="Q36" s="9"/>
      <c r="R36" s="9"/>
      <c r="S36" s="9"/>
      <c r="T36" s="9"/>
      <c r="U36" s="9"/>
      <c r="V36" s="9"/>
      <c r="W36" s="17">
        <v>45</v>
      </c>
      <c r="X36" s="13">
        <v>9.1499999999999998E-2</v>
      </c>
      <c r="Y36" s="9"/>
      <c r="Z36" s="17"/>
      <c r="AA36" s="14"/>
      <c r="AB36" s="9"/>
      <c r="AC36" s="9"/>
      <c r="AD36" s="9"/>
      <c r="AE36" s="9"/>
      <c r="AF36" s="9"/>
      <c r="AG36" s="9">
        <v>42</v>
      </c>
      <c r="AH36" s="181">
        <v>0.83</v>
      </c>
      <c r="AI36" s="9"/>
      <c r="AJ36" s="9">
        <v>42</v>
      </c>
      <c r="AK36" s="183">
        <v>0.73</v>
      </c>
      <c r="AL36" s="9"/>
      <c r="AM36" s="9">
        <v>42</v>
      </c>
      <c r="AN36" s="12">
        <v>0.13200000000000001</v>
      </c>
      <c r="AO36" s="9"/>
      <c r="AP36" s="9"/>
      <c r="AQ36" s="9"/>
      <c r="AR36" s="9"/>
      <c r="AT36">
        <v>43</v>
      </c>
      <c r="AU36" s="117">
        <v>22.919533352794002</v>
      </c>
      <c r="AV36" s="118">
        <v>19.226252596333001</v>
      </c>
      <c r="AW36" s="117">
        <v>25.522198040133201</v>
      </c>
      <c r="AX36" s="118">
        <v>21.971687362448701</v>
      </c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>
      <c r="A37" s="9"/>
      <c r="B37" s="17">
        <v>46</v>
      </c>
      <c r="C37" s="103">
        <v>32.720872582921999</v>
      </c>
      <c r="D37" s="18"/>
      <c r="E37" s="17">
        <v>46</v>
      </c>
      <c r="F37" s="106">
        <v>33.196600019183698</v>
      </c>
      <c r="G37" s="11"/>
      <c r="H37" s="11"/>
      <c r="I37" s="9"/>
      <c r="J37" s="17">
        <v>46</v>
      </c>
      <c r="K37" s="107">
        <v>18.336210563659701</v>
      </c>
      <c r="L37" s="18"/>
      <c r="M37" s="9"/>
      <c r="N37" s="9"/>
      <c r="O37" s="9"/>
      <c r="P37" s="9"/>
      <c r="Q37" s="9"/>
      <c r="R37" s="9"/>
      <c r="S37" s="9"/>
      <c r="T37" s="9"/>
      <c r="U37" s="9"/>
      <c r="V37" s="9"/>
      <c r="W37" s="17">
        <v>46</v>
      </c>
      <c r="X37" s="13">
        <v>6.0999999999999999E-2</v>
      </c>
      <c r="Y37" s="9"/>
      <c r="Z37" s="17"/>
      <c r="AA37" s="14"/>
      <c r="AB37" s="9"/>
      <c r="AC37" s="9"/>
      <c r="AD37" s="9"/>
      <c r="AE37" s="9"/>
      <c r="AF37" s="9"/>
      <c r="AG37" s="9">
        <v>43</v>
      </c>
      <c r="AH37" s="181">
        <v>0.92</v>
      </c>
      <c r="AI37" s="9"/>
      <c r="AJ37" s="9">
        <v>43</v>
      </c>
      <c r="AK37" s="183">
        <v>0.8</v>
      </c>
      <c r="AL37" s="9"/>
      <c r="AM37" s="9">
        <v>43</v>
      </c>
      <c r="AN37" s="12">
        <v>0.13200000000000001</v>
      </c>
      <c r="AO37" s="9"/>
      <c r="AP37" s="9"/>
      <c r="AQ37" s="9"/>
      <c r="AR37" s="9"/>
      <c r="AT37">
        <v>44</v>
      </c>
      <c r="AU37" s="117">
        <v>21.116461348662</v>
      </c>
      <c r="AV37" s="118">
        <v>17.3098004762941</v>
      </c>
      <c r="AW37" s="117">
        <v>23.7910593590939</v>
      </c>
      <c r="AX37" s="118">
        <v>20.1324044343332</v>
      </c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69">
      <c r="A38" s="9"/>
      <c r="B38" s="17">
        <v>47</v>
      </c>
      <c r="C38" s="103">
        <v>32.005435149793598</v>
      </c>
      <c r="D38" s="18"/>
      <c r="E38" s="17">
        <v>47</v>
      </c>
      <c r="F38" s="106">
        <v>32.509013139986799</v>
      </c>
      <c r="G38" s="11"/>
      <c r="H38" s="11"/>
      <c r="I38" s="9"/>
      <c r="J38" s="17">
        <v>47</v>
      </c>
      <c r="K38" s="107">
        <v>17.6039285793304</v>
      </c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17">
        <v>47</v>
      </c>
      <c r="X38" s="13">
        <v>6.0999999999999999E-2</v>
      </c>
      <c r="Y38" s="9"/>
      <c r="Z38" s="17"/>
      <c r="AA38" s="14"/>
      <c r="AB38" s="9"/>
      <c r="AC38" s="9"/>
      <c r="AD38" s="9"/>
      <c r="AE38" s="9"/>
      <c r="AF38" s="9"/>
      <c r="AG38" s="9">
        <v>44</v>
      </c>
      <c r="AH38" s="181">
        <v>1.03</v>
      </c>
      <c r="AI38" s="9"/>
      <c r="AJ38" s="9">
        <v>44</v>
      </c>
      <c r="AK38" s="183">
        <v>0.9</v>
      </c>
      <c r="AL38" s="9"/>
      <c r="AM38" s="9">
        <v>44</v>
      </c>
      <c r="AN38" s="12">
        <v>0.13200000000000001</v>
      </c>
      <c r="AO38" s="9"/>
      <c r="AP38" s="9"/>
      <c r="AQ38" s="9"/>
      <c r="AR38" s="9"/>
      <c r="AT38">
        <v>45</v>
      </c>
      <c r="AU38" s="117">
        <v>19.226252596333001</v>
      </c>
      <c r="AV38" s="118">
        <v>15.294655803774999</v>
      </c>
      <c r="AW38" s="117">
        <v>21.971687362448701</v>
      </c>
      <c r="AX38" s="118">
        <v>18.188209266282801</v>
      </c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1:69">
      <c r="A39" s="9"/>
      <c r="B39" s="17">
        <v>48</v>
      </c>
      <c r="C39" s="103">
        <v>31.171419579286599</v>
      </c>
      <c r="D39" s="18"/>
      <c r="E39" s="17">
        <v>48</v>
      </c>
      <c r="F39" s="106">
        <v>31.683832096639598</v>
      </c>
      <c r="G39" s="11"/>
      <c r="H39" s="11"/>
      <c r="I39" s="9"/>
      <c r="J39" s="17">
        <v>48</v>
      </c>
      <c r="K39" s="107">
        <v>16.860256938934299</v>
      </c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17">
        <v>48</v>
      </c>
      <c r="X39" s="13">
        <v>6.0999999999999999E-2</v>
      </c>
      <c r="Y39" s="9"/>
      <c r="Z39" s="17"/>
      <c r="AA39" s="14"/>
      <c r="AB39" s="9"/>
      <c r="AC39" s="9"/>
      <c r="AD39" s="9"/>
      <c r="AE39" s="9"/>
      <c r="AF39" s="9"/>
      <c r="AG39" s="9">
        <v>45</v>
      </c>
      <c r="AH39" s="181">
        <v>1.1599999999999999</v>
      </c>
      <c r="AI39" s="9"/>
      <c r="AJ39" s="9">
        <v>45</v>
      </c>
      <c r="AK39" s="183">
        <v>1.01</v>
      </c>
      <c r="AL39" s="9"/>
      <c r="AM39" s="9">
        <v>45</v>
      </c>
      <c r="AN39" s="12">
        <v>0.154</v>
      </c>
      <c r="AO39" s="9"/>
      <c r="AP39" s="9"/>
      <c r="AQ39" s="9"/>
      <c r="AR39" s="9"/>
      <c r="AT39">
        <v>46</v>
      </c>
      <c r="AU39" s="117">
        <v>17.3098004762941</v>
      </c>
      <c r="AV39" s="118">
        <v>13.274118571797599</v>
      </c>
      <c r="AW39" s="117">
        <v>20.1324044343332</v>
      </c>
      <c r="AX39" s="118">
        <v>16.247962796916699</v>
      </c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1:69">
      <c r="A40" s="9"/>
      <c r="B40" s="17">
        <v>49</v>
      </c>
      <c r="C40" s="103">
        <v>30.3135519675469</v>
      </c>
      <c r="D40" s="18"/>
      <c r="E40" s="17">
        <v>49</v>
      </c>
      <c r="F40" s="106">
        <v>30.834116345572902</v>
      </c>
      <c r="G40" s="11"/>
      <c r="H40" s="11"/>
      <c r="I40" s="9"/>
      <c r="J40" s="17">
        <v>49</v>
      </c>
      <c r="K40" s="107">
        <v>16.103318807601902</v>
      </c>
      <c r="L40" s="18"/>
      <c r="M40" s="9"/>
      <c r="N40" s="9"/>
      <c r="O40" s="9"/>
      <c r="P40" s="9"/>
      <c r="Q40" s="9"/>
      <c r="R40" s="9"/>
      <c r="S40" s="9"/>
      <c r="T40" s="9"/>
      <c r="U40" s="9"/>
      <c r="V40" s="9"/>
      <c r="W40" s="17">
        <v>49</v>
      </c>
      <c r="X40" s="13">
        <v>6.0999999999999999E-2</v>
      </c>
      <c r="Y40" s="9"/>
      <c r="Z40" s="17"/>
      <c r="AA40" s="14"/>
      <c r="AB40" s="9"/>
      <c r="AC40" s="9"/>
      <c r="AD40" s="9"/>
      <c r="AE40" s="9"/>
      <c r="AF40" s="9"/>
      <c r="AG40" s="9">
        <v>46</v>
      </c>
      <c r="AH40" s="181">
        <v>1.32</v>
      </c>
      <c r="AI40" s="9"/>
      <c r="AJ40" s="9">
        <v>46</v>
      </c>
      <c r="AK40" s="183">
        <v>1.1499999999999999</v>
      </c>
      <c r="AL40" s="9"/>
      <c r="AM40" s="9">
        <v>46</v>
      </c>
      <c r="AN40" s="12">
        <v>0.154</v>
      </c>
      <c r="AO40" s="9"/>
      <c r="AP40" s="9"/>
      <c r="AQ40" s="9"/>
      <c r="AR40" s="9"/>
      <c r="AT40">
        <v>47</v>
      </c>
      <c r="AU40" s="117">
        <v>15.294655803774999</v>
      </c>
      <c r="AV40" s="118">
        <v>11.133755380465001</v>
      </c>
      <c r="AW40" s="117">
        <v>18.188209266282801</v>
      </c>
      <c r="AX40" s="118">
        <v>14.170330740595601</v>
      </c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69">
      <c r="A41" s="9"/>
      <c r="B41" s="17">
        <v>50</v>
      </c>
      <c r="C41" s="103">
        <v>29.545903979301499</v>
      </c>
      <c r="D41" s="18"/>
      <c r="E41" s="17">
        <v>50</v>
      </c>
      <c r="F41" s="106">
        <v>30.0723424198837</v>
      </c>
      <c r="G41" s="11"/>
      <c r="H41" s="11"/>
      <c r="I41" s="9"/>
      <c r="J41" s="17">
        <v>50</v>
      </c>
      <c r="K41" s="107">
        <v>15.3332320308685</v>
      </c>
      <c r="L41" s="18"/>
      <c r="M41" s="9"/>
      <c r="N41" s="9"/>
      <c r="O41" s="9"/>
      <c r="P41" s="9"/>
      <c r="Q41" s="9"/>
      <c r="R41" s="9"/>
      <c r="S41" s="9"/>
      <c r="T41" s="9"/>
      <c r="U41" s="9"/>
      <c r="V41" s="9"/>
      <c r="W41" s="17">
        <v>50</v>
      </c>
      <c r="X41" s="13">
        <v>6.0999999999999999E-2</v>
      </c>
      <c r="Y41" s="9"/>
      <c r="Z41" s="17"/>
      <c r="AA41" s="14"/>
      <c r="AB41" s="9"/>
      <c r="AC41" s="9"/>
      <c r="AD41" s="9"/>
      <c r="AE41" s="9"/>
      <c r="AF41" s="9"/>
      <c r="AG41" s="9">
        <v>47</v>
      </c>
      <c r="AH41" s="181">
        <v>1.51</v>
      </c>
      <c r="AI41" s="9"/>
      <c r="AJ41" s="9">
        <v>47</v>
      </c>
      <c r="AK41" s="183">
        <v>1.31</v>
      </c>
      <c r="AL41" s="9"/>
      <c r="AM41" s="9">
        <v>47</v>
      </c>
      <c r="AN41" s="12">
        <v>0.154</v>
      </c>
      <c r="AO41" s="9"/>
      <c r="AP41" s="9"/>
      <c r="AQ41" s="9"/>
      <c r="AR41" s="9"/>
      <c r="AT41">
        <v>48</v>
      </c>
      <c r="AU41" s="117">
        <v>13.274118571797599</v>
      </c>
      <c r="AV41" s="118">
        <v>8.9971575525206298</v>
      </c>
      <c r="AW41" s="117">
        <v>16.247962796916699</v>
      </c>
      <c r="AX41" s="118">
        <v>12.1060200303702</v>
      </c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69">
      <c r="A42" s="9"/>
      <c r="B42" s="17">
        <v>51</v>
      </c>
      <c r="C42" s="103">
        <v>28.660222133491001</v>
      </c>
      <c r="D42" s="18"/>
      <c r="E42" s="17">
        <v>51</v>
      </c>
      <c r="F42" s="106">
        <v>29.1931657556615</v>
      </c>
      <c r="G42" s="11"/>
      <c r="H42" s="11"/>
      <c r="I42" s="9"/>
      <c r="J42" s="17">
        <v>51</v>
      </c>
      <c r="K42" s="107">
        <v>14.5499026069641</v>
      </c>
      <c r="L42" s="18"/>
      <c r="M42" s="9"/>
      <c r="N42" s="9"/>
      <c r="O42" s="9"/>
      <c r="P42" s="9"/>
      <c r="Q42" s="9"/>
      <c r="R42" s="9"/>
      <c r="S42" s="9"/>
      <c r="T42" s="9"/>
      <c r="U42" s="9"/>
      <c r="V42" s="9"/>
      <c r="W42" s="17">
        <v>51</v>
      </c>
      <c r="X42" s="13">
        <v>3.7999999999999999E-2</v>
      </c>
      <c r="Y42" s="9"/>
      <c r="Z42" s="17"/>
      <c r="AA42" s="14"/>
      <c r="AB42" s="9"/>
      <c r="AC42" s="9"/>
      <c r="AD42" s="9"/>
      <c r="AE42" s="9"/>
      <c r="AF42" s="9"/>
      <c r="AG42" s="9">
        <v>48</v>
      </c>
      <c r="AH42" s="181">
        <v>1.7</v>
      </c>
      <c r="AI42" s="9"/>
      <c r="AJ42" s="9">
        <v>48</v>
      </c>
      <c r="AK42" s="183">
        <v>1.47</v>
      </c>
      <c r="AL42" s="9"/>
      <c r="AM42" s="9">
        <v>48</v>
      </c>
      <c r="AN42" s="12">
        <v>0.154</v>
      </c>
      <c r="AO42" s="9"/>
      <c r="AP42" s="9"/>
      <c r="AQ42" s="9"/>
      <c r="AR42" s="9"/>
      <c r="AT42">
        <v>49</v>
      </c>
      <c r="AU42" s="117">
        <v>11.133755380465001</v>
      </c>
      <c r="AV42" s="118">
        <v>6.7570708267389499</v>
      </c>
      <c r="AW42" s="117">
        <v>14.170330740595601</v>
      </c>
      <c r="AX42" s="118">
        <v>9.9079820439443793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69">
      <c r="A43" s="9"/>
      <c r="B43" s="17">
        <v>52</v>
      </c>
      <c r="C43" s="103">
        <v>28.143450746555299</v>
      </c>
      <c r="D43" s="18"/>
      <c r="E43" s="17">
        <v>52</v>
      </c>
      <c r="F43" s="106">
        <v>28.676346868526501</v>
      </c>
      <c r="G43" s="11"/>
      <c r="H43" s="11"/>
      <c r="I43" s="9"/>
      <c r="J43" s="17">
        <v>52</v>
      </c>
      <c r="K43" s="107">
        <v>13.7531810836792</v>
      </c>
      <c r="L43" s="18"/>
      <c r="M43" s="9"/>
      <c r="N43" s="9"/>
      <c r="O43" s="9"/>
      <c r="P43" s="9"/>
      <c r="Q43" s="9"/>
      <c r="R43" s="9"/>
      <c r="S43" s="9"/>
      <c r="T43" s="9"/>
      <c r="U43" s="9"/>
      <c r="V43" s="9"/>
      <c r="W43" s="17">
        <v>52</v>
      </c>
      <c r="X43" s="13">
        <v>3.7999999999999999E-2</v>
      </c>
      <c r="Y43" s="9"/>
      <c r="Z43" s="17"/>
      <c r="AA43" s="14"/>
      <c r="AB43" s="9"/>
      <c r="AC43" s="9"/>
      <c r="AD43" s="9"/>
      <c r="AE43" s="9"/>
      <c r="AF43" s="9"/>
      <c r="AG43" s="9">
        <v>49</v>
      </c>
      <c r="AH43" s="181">
        <v>1.91</v>
      </c>
      <c r="AI43" s="9"/>
      <c r="AJ43" s="9">
        <v>49</v>
      </c>
      <c r="AK43" s="183">
        <v>1.66</v>
      </c>
      <c r="AL43" s="9"/>
      <c r="AM43" s="9">
        <v>49</v>
      </c>
      <c r="AN43" s="12">
        <v>0.154</v>
      </c>
      <c r="AO43" s="9"/>
      <c r="AP43" s="9"/>
      <c r="AQ43" s="9"/>
      <c r="AR43" s="9"/>
      <c r="AT43">
        <v>50</v>
      </c>
      <c r="AU43" s="117">
        <v>8.9971575525206298</v>
      </c>
      <c r="AV43" s="118">
        <v>6.7686105792115399</v>
      </c>
      <c r="AW43" s="117">
        <v>12.1060200303702</v>
      </c>
      <c r="AX43" s="118">
        <v>9.9249029351443792</v>
      </c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69">
      <c r="A44" s="9"/>
      <c r="B44" s="17">
        <v>53</v>
      </c>
      <c r="C44" s="103">
        <v>27.236773154493601</v>
      </c>
      <c r="D44" s="18"/>
      <c r="E44" s="17">
        <v>53</v>
      </c>
      <c r="F44" s="106">
        <v>27.7749013067398</v>
      </c>
      <c r="G44" s="11"/>
      <c r="H44" s="11"/>
      <c r="I44" s="9"/>
      <c r="J44" s="17">
        <v>53</v>
      </c>
      <c r="K44" s="107">
        <v>12.9427769904137</v>
      </c>
      <c r="L44" s="18"/>
      <c r="M44" s="9"/>
      <c r="N44" s="9"/>
      <c r="O44" s="9"/>
      <c r="P44" s="9"/>
      <c r="Q44" s="9"/>
      <c r="R44" s="9"/>
      <c r="S44" s="9"/>
      <c r="T44" s="9"/>
      <c r="U44" s="9"/>
      <c r="V44" s="9"/>
      <c r="W44" s="17">
        <v>53</v>
      </c>
      <c r="X44" s="13">
        <v>3.7999999999999999E-2</v>
      </c>
      <c r="Y44" s="9"/>
      <c r="Z44" s="17"/>
      <c r="AA44" s="14"/>
      <c r="AB44" s="9"/>
      <c r="AC44" s="9"/>
      <c r="AD44" s="9"/>
      <c r="AE44" s="9"/>
      <c r="AF44" s="9"/>
      <c r="AG44" s="9">
        <v>50</v>
      </c>
      <c r="AH44" s="181">
        <v>2.13</v>
      </c>
      <c r="AI44" s="9"/>
      <c r="AJ44" s="9">
        <v>50</v>
      </c>
      <c r="AK44" s="183">
        <v>1.84</v>
      </c>
      <c r="AL44" s="9"/>
      <c r="AM44" s="9">
        <v>50</v>
      </c>
      <c r="AN44" s="12">
        <v>0.182</v>
      </c>
      <c r="AO44" s="9"/>
      <c r="AP44" s="9"/>
      <c r="AQ44" s="9"/>
      <c r="AR44" s="9"/>
      <c r="AT44">
        <v>51</v>
      </c>
      <c r="AU44" s="117">
        <v>6.7570708267389499</v>
      </c>
      <c r="AV44" s="118">
        <v>4.4698732486669597</v>
      </c>
      <c r="AW44" s="117">
        <v>9.9079820439443793</v>
      </c>
      <c r="AX44" s="118">
        <v>7.6285275099933996</v>
      </c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69">
      <c r="A45" s="9"/>
      <c r="B45" s="17">
        <v>54</v>
      </c>
      <c r="C45" s="103">
        <v>26.700004454023802</v>
      </c>
      <c r="D45" s="18"/>
      <c r="E45" s="17">
        <v>54</v>
      </c>
      <c r="F45" s="106">
        <v>27.238097061379499</v>
      </c>
      <c r="G45" s="11"/>
      <c r="H45" s="11"/>
      <c r="I45" s="9"/>
      <c r="J45" s="17">
        <v>54</v>
      </c>
      <c r="K45" s="107">
        <v>12.1155302333832</v>
      </c>
      <c r="L45" s="18"/>
      <c r="M45" s="9"/>
      <c r="N45" s="9"/>
      <c r="O45" s="9"/>
      <c r="P45" s="9"/>
      <c r="Q45" s="9"/>
      <c r="R45" s="9"/>
      <c r="S45" s="9"/>
      <c r="T45" s="9"/>
      <c r="U45" s="9"/>
      <c r="V45" s="9"/>
      <c r="W45" s="17">
        <v>54</v>
      </c>
      <c r="X45" s="13">
        <v>3.7999999999999999E-2</v>
      </c>
      <c r="Y45" s="9"/>
      <c r="Z45" s="17"/>
      <c r="AA45" s="14"/>
      <c r="AB45" s="9"/>
      <c r="AC45" s="9"/>
      <c r="AD45" s="9"/>
      <c r="AE45" s="9"/>
      <c r="AF45" s="9"/>
      <c r="AG45" s="9">
        <v>51</v>
      </c>
      <c r="AH45" s="181">
        <v>2.38</v>
      </c>
      <c r="AI45" s="9"/>
      <c r="AJ45" s="9">
        <v>51</v>
      </c>
      <c r="AK45" s="183">
        <v>2.06</v>
      </c>
      <c r="AL45" s="9"/>
      <c r="AM45" s="9">
        <v>51</v>
      </c>
      <c r="AN45" s="12">
        <v>0.182</v>
      </c>
      <c r="AO45" s="9"/>
      <c r="AP45" s="9"/>
      <c r="AQ45" s="9"/>
      <c r="AR45" s="9"/>
      <c r="AT45">
        <v>52</v>
      </c>
      <c r="AU45" s="117">
        <v>6.7686105792115399</v>
      </c>
      <c r="AV45" s="118">
        <v>4.4970292222311601</v>
      </c>
      <c r="AW45" s="117">
        <v>9.9249029351443792</v>
      </c>
      <c r="AX45" s="118">
        <v>7.67487336363856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1:69">
      <c r="A46" s="9"/>
      <c r="B46" s="17">
        <v>55</v>
      </c>
      <c r="C46" s="103">
        <v>25.8500638270378</v>
      </c>
      <c r="D46" s="18"/>
      <c r="E46" s="17">
        <v>55</v>
      </c>
      <c r="F46" s="106">
        <v>26.3914558365822</v>
      </c>
      <c r="G46" s="11"/>
      <c r="H46" s="11"/>
      <c r="I46" s="9"/>
      <c r="J46" s="17">
        <v>55</v>
      </c>
      <c r="K46" s="107">
        <v>11.272011759281201</v>
      </c>
      <c r="L46" s="18"/>
      <c r="M46" s="9"/>
      <c r="N46" s="9"/>
      <c r="O46" s="9"/>
      <c r="P46" s="9"/>
      <c r="Q46" s="9"/>
      <c r="R46" s="9"/>
      <c r="S46" s="9"/>
      <c r="T46" s="9"/>
      <c r="U46" s="9"/>
      <c r="V46" s="9"/>
      <c r="W46" s="17">
        <v>55</v>
      </c>
      <c r="X46" s="13">
        <v>3.7999999999999999E-2</v>
      </c>
      <c r="Y46" s="9"/>
      <c r="Z46" s="17"/>
      <c r="AA46" s="14"/>
      <c r="AB46" s="9"/>
      <c r="AC46" s="9"/>
      <c r="AD46" s="9"/>
      <c r="AE46" s="9"/>
      <c r="AF46" s="9"/>
      <c r="AG46" s="9">
        <v>52</v>
      </c>
      <c r="AH46" s="181">
        <v>2.69</v>
      </c>
      <c r="AI46" s="9"/>
      <c r="AJ46" s="9">
        <v>52</v>
      </c>
      <c r="AK46" s="183">
        <v>2.3199999999999998</v>
      </c>
      <c r="AL46" s="9"/>
      <c r="AM46" s="9">
        <v>52</v>
      </c>
      <c r="AN46" s="12">
        <v>0.182</v>
      </c>
      <c r="AO46" s="9"/>
      <c r="AP46" s="9"/>
      <c r="AQ46" s="9"/>
      <c r="AR46" s="9"/>
      <c r="AT46">
        <v>53</v>
      </c>
      <c r="AU46" s="117">
        <v>4.4698732486669597</v>
      </c>
      <c r="AV46" s="118">
        <v>2.2455227389497701</v>
      </c>
      <c r="AW46" s="117">
        <v>7.6285275099933996</v>
      </c>
      <c r="AX46" s="118">
        <v>5.4442172255909602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69">
      <c r="A47" s="9"/>
      <c r="B47" s="17">
        <v>56</v>
      </c>
      <c r="C47" s="103">
        <v>25.290063827037802</v>
      </c>
      <c r="D47" s="18"/>
      <c r="E47" s="17">
        <v>56</v>
      </c>
      <c r="F47" s="106">
        <v>25.831455836582201</v>
      </c>
      <c r="G47" s="11"/>
      <c r="H47" s="11"/>
      <c r="I47" s="9"/>
      <c r="J47" s="17">
        <v>56</v>
      </c>
      <c r="K47" s="107">
        <v>10.411880960464501</v>
      </c>
      <c r="L47" s="18"/>
      <c r="M47" s="9"/>
      <c r="N47" s="9"/>
      <c r="O47" s="9"/>
      <c r="P47" s="9"/>
      <c r="Q47" s="9"/>
      <c r="R47" s="9"/>
      <c r="S47" s="9"/>
      <c r="T47" s="9"/>
      <c r="U47" s="9"/>
      <c r="V47" s="9"/>
      <c r="W47" s="17">
        <v>56</v>
      </c>
      <c r="X47" s="13">
        <v>2.1000000000000001E-2</v>
      </c>
      <c r="Y47" s="9"/>
      <c r="Z47" s="17"/>
      <c r="AA47" s="14"/>
      <c r="AB47" s="9"/>
      <c r="AC47" s="9"/>
      <c r="AD47" s="9"/>
      <c r="AE47" s="9"/>
      <c r="AF47" s="9"/>
      <c r="AG47" s="9">
        <v>53</v>
      </c>
      <c r="AH47" s="181">
        <v>3</v>
      </c>
      <c r="AI47" s="9"/>
      <c r="AJ47" s="9">
        <v>53</v>
      </c>
      <c r="AK47" s="183">
        <v>2.58</v>
      </c>
      <c r="AL47" s="9"/>
      <c r="AM47" s="9">
        <v>53</v>
      </c>
      <c r="AN47" s="12">
        <v>0.182</v>
      </c>
      <c r="AO47" s="9"/>
      <c r="AP47" s="9"/>
      <c r="AQ47" s="9"/>
      <c r="AR47" s="9"/>
      <c r="AT47">
        <v>54</v>
      </c>
      <c r="AU47" s="117">
        <v>4.4970292222311601</v>
      </c>
      <c r="AV47" s="118">
        <v>2.2346748030128101</v>
      </c>
      <c r="AW47" s="117">
        <v>7.67487336363856</v>
      </c>
      <c r="AX47" s="118">
        <v>5.4179166592837502</v>
      </c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69">
      <c r="A48" s="9"/>
      <c r="B48" s="17">
        <v>57</v>
      </c>
      <c r="C48" s="103">
        <v>24.649561987122301</v>
      </c>
      <c r="D48" s="18"/>
      <c r="E48" s="17">
        <v>57</v>
      </c>
      <c r="F48" s="106">
        <v>25.1914818024539</v>
      </c>
      <c r="G48" s="11"/>
      <c r="H48" s="11"/>
      <c r="I48" s="9"/>
      <c r="J48" s="17">
        <v>57</v>
      </c>
      <c r="K48" s="107">
        <v>9.5348768639564501</v>
      </c>
      <c r="L48" s="18"/>
      <c r="M48" s="9"/>
      <c r="N48" s="9"/>
      <c r="O48" s="9"/>
      <c r="P48" s="9"/>
      <c r="Q48" s="9"/>
      <c r="R48" s="9"/>
      <c r="S48" s="9"/>
      <c r="T48" s="9"/>
      <c r="U48" s="9"/>
      <c r="V48" s="9"/>
      <c r="W48" s="17">
        <v>57</v>
      </c>
      <c r="X48" s="13">
        <v>2.1000000000000001E-2</v>
      </c>
      <c r="Y48" s="9"/>
      <c r="Z48" s="17"/>
      <c r="AA48" s="14"/>
      <c r="AB48" s="9"/>
      <c r="AC48" s="9"/>
      <c r="AD48" s="9"/>
      <c r="AE48" s="9"/>
      <c r="AF48" s="9"/>
      <c r="AG48" s="9">
        <v>54</v>
      </c>
      <c r="AH48" s="181">
        <v>3.34</v>
      </c>
      <c r="AI48" s="9"/>
      <c r="AJ48" s="9">
        <v>54</v>
      </c>
      <c r="AK48" s="183">
        <v>2.88</v>
      </c>
      <c r="AL48" s="9"/>
      <c r="AM48" s="9">
        <v>54</v>
      </c>
      <c r="AN48" s="12">
        <v>0.182</v>
      </c>
      <c r="AO48" s="9"/>
      <c r="AP48" s="9"/>
      <c r="AQ48" s="9"/>
      <c r="AR48" s="9"/>
      <c r="AT48">
        <v>55</v>
      </c>
      <c r="AU48" s="117">
        <v>2.2455227389497701</v>
      </c>
      <c r="AV48" s="118">
        <v>2.2266073849513899</v>
      </c>
      <c r="AW48" s="117">
        <v>5.4442172255909602</v>
      </c>
      <c r="AX48" s="118">
        <v>5.3983573933657603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1:69">
      <c r="A49" s="9"/>
      <c r="B49" s="17">
        <v>58</v>
      </c>
      <c r="C49" s="103">
        <v>24.072792529652101</v>
      </c>
      <c r="D49" s="18"/>
      <c r="E49" s="17">
        <v>58</v>
      </c>
      <c r="F49" s="106">
        <v>24.5988538209991</v>
      </c>
      <c r="G49" s="11"/>
      <c r="H49" s="11"/>
      <c r="I49" s="9"/>
      <c r="J49" s="17">
        <v>58</v>
      </c>
      <c r="K49" s="107">
        <v>8.6409630584716801</v>
      </c>
      <c r="L49" s="18"/>
      <c r="M49" s="9"/>
      <c r="N49" s="9"/>
      <c r="O49" s="9"/>
      <c r="P49" s="9"/>
      <c r="Q49" s="9"/>
      <c r="R49" s="9"/>
      <c r="S49" s="9"/>
      <c r="T49" s="9"/>
      <c r="U49" s="9"/>
      <c r="V49" s="9"/>
      <c r="W49" s="17">
        <v>58</v>
      </c>
      <c r="X49" s="13">
        <v>2.1000000000000001E-2</v>
      </c>
      <c r="Y49" s="9"/>
      <c r="Z49" s="17"/>
      <c r="AA49" s="14"/>
      <c r="AB49" s="9"/>
      <c r="AC49" s="9"/>
      <c r="AD49" s="9"/>
      <c r="AE49" s="9"/>
      <c r="AF49" s="9"/>
      <c r="AG49" s="9">
        <v>55</v>
      </c>
      <c r="AH49" s="181">
        <v>3.75</v>
      </c>
      <c r="AI49" s="9"/>
      <c r="AJ49" s="9">
        <v>55</v>
      </c>
      <c r="AK49" s="183">
        <v>3.23</v>
      </c>
      <c r="AL49" s="9"/>
      <c r="AM49" s="9">
        <v>55</v>
      </c>
      <c r="AN49" s="12">
        <v>0.215</v>
      </c>
      <c r="AO49" s="9"/>
      <c r="AP49" s="9"/>
      <c r="AQ49" s="9"/>
      <c r="AR49" s="9"/>
      <c r="AT49">
        <v>56</v>
      </c>
      <c r="AU49" s="117">
        <v>2.2346748030128101</v>
      </c>
      <c r="AV49" s="118">
        <v>2.2319791759886698</v>
      </c>
      <c r="AW49" s="117">
        <v>5.4179166592837502</v>
      </c>
      <c r="AX49" s="118">
        <v>5.4113811747731599</v>
      </c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</row>
    <row r="50" spans="1:69">
      <c r="A50" s="9"/>
      <c r="B50" s="17">
        <v>59</v>
      </c>
      <c r="C50" s="103">
        <v>23.17</v>
      </c>
      <c r="D50" s="18"/>
      <c r="E50" s="17">
        <v>59</v>
      </c>
      <c r="F50" s="106">
        <v>23.683948082282399</v>
      </c>
      <c r="G50" s="11"/>
      <c r="H50" s="11"/>
      <c r="I50" s="9"/>
      <c r="J50" s="17">
        <v>59</v>
      </c>
      <c r="K50" s="107">
        <v>7.7307033519744897</v>
      </c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17">
        <v>59</v>
      </c>
      <c r="X50" s="13">
        <v>2.1000000000000001E-2</v>
      </c>
      <c r="Y50" s="9"/>
      <c r="Z50" s="17"/>
      <c r="AA50" s="14"/>
      <c r="AB50" s="9"/>
      <c r="AC50" s="9"/>
      <c r="AD50" s="9"/>
      <c r="AE50" s="9"/>
      <c r="AF50" s="9"/>
      <c r="AG50" s="9">
        <v>56</v>
      </c>
      <c r="AH50" s="181">
        <v>4.2</v>
      </c>
      <c r="AI50" s="9"/>
      <c r="AJ50" s="9">
        <v>56</v>
      </c>
      <c r="AK50" s="183">
        <v>3.62</v>
      </c>
      <c r="AL50" s="9"/>
      <c r="AM50" s="9">
        <v>56</v>
      </c>
      <c r="AN50" s="12">
        <v>0.215</v>
      </c>
      <c r="AO50" s="9"/>
      <c r="AP50" s="9"/>
      <c r="AQ50" s="9"/>
      <c r="AR50" s="9"/>
      <c r="AT50">
        <v>57</v>
      </c>
      <c r="AU50" s="117">
        <v>2.2266073849513899</v>
      </c>
      <c r="AV50" s="118">
        <v>0</v>
      </c>
      <c r="AW50" s="117">
        <v>5.3983573933657603</v>
      </c>
      <c r="AX50" s="118">
        <v>3.1731454426656902</v>
      </c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1:69">
      <c r="A51" s="9"/>
      <c r="B51" s="17">
        <v>60</v>
      </c>
      <c r="C51" s="103">
        <v>22.57</v>
      </c>
      <c r="D51" s="18"/>
      <c r="E51" s="17">
        <v>60</v>
      </c>
      <c r="F51" s="106">
        <v>22.995791393341101</v>
      </c>
      <c r="G51" s="11"/>
      <c r="H51" s="11"/>
      <c r="I51" s="9"/>
      <c r="J51" s="17">
        <v>60</v>
      </c>
      <c r="K51" s="107">
        <v>6.8039857673644999</v>
      </c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17">
        <v>60</v>
      </c>
      <c r="X51" s="13">
        <v>2.1000000000000001E-2</v>
      </c>
      <c r="Y51" s="9"/>
      <c r="Z51" s="17"/>
      <c r="AA51" s="14"/>
      <c r="AB51" s="9"/>
      <c r="AC51" s="9"/>
      <c r="AD51" s="9"/>
      <c r="AE51" s="9"/>
      <c r="AF51" s="9"/>
      <c r="AG51" s="9">
        <v>57</v>
      </c>
      <c r="AH51" s="181">
        <v>4.6100000000000003</v>
      </c>
      <c r="AI51" s="9"/>
      <c r="AJ51" s="9">
        <v>57</v>
      </c>
      <c r="AK51" s="183">
        <v>3.97</v>
      </c>
      <c r="AL51" s="9"/>
      <c r="AM51" s="9">
        <v>57</v>
      </c>
      <c r="AN51" s="12">
        <v>0.215</v>
      </c>
      <c r="AO51" s="9"/>
      <c r="AP51" s="9"/>
      <c r="AQ51" s="9"/>
      <c r="AR51" s="9"/>
      <c r="AT51">
        <v>58</v>
      </c>
      <c r="AU51" s="117">
        <v>2.2319791759886698</v>
      </c>
      <c r="AV51" s="118">
        <v>0</v>
      </c>
      <c r="AW51" s="117">
        <v>5.4113811747731599</v>
      </c>
      <c r="AX51" s="118">
        <v>2.6452207052579499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69">
      <c r="A52" s="9"/>
      <c r="B52" s="17">
        <v>61</v>
      </c>
      <c r="C52" s="103">
        <v>21.96</v>
      </c>
      <c r="D52" s="18"/>
      <c r="E52" s="17">
        <v>61</v>
      </c>
      <c r="F52" s="106">
        <v>22.2969020928434</v>
      </c>
      <c r="G52" s="11"/>
      <c r="H52" s="11"/>
      <c r="I52" s="9"/>
      <c r="J52" s="17">
        <v>61</v>
      </c>
      <c r="K52" s="107">
        <v>5.8631177365779896</v>
      </c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17">
        <v>61</v>
      </c>
      <c r="X52" s="13">
        <v>6.0000000000000001E-3</v>
      </c>
      <c r="Y52" s="9"/>
      <c r="Z52" s="17"/>
      <c r="AA52" s="14"/>
      <c r="AB52" s="9"/>
      <c r="AC52" s="9"/>
      <c r="AD52" s="9"/>
      <c r="AE52" s="9"/>
      <c r="AF52" s="9"/>
      <c r="AG52" s="9">
        <v>58</v>
      </c>
      <c r="AH52" s="181">
        <v>5.03</v>
      </c>
      <c r="AI52" s="9"/>
      <c r="AJ52" s="9">
        <v>58</v>
      </c>
      <c r="AK52" s="183">
        <v>4.32</v>
      </c>
      <c r="AL52" s="9"/>
      <c r="AM52" s="9">
        <v>58</v>
      </c>
      <c r="AN52" s="12">
        <v>0.215</v>
      </c>
      <c r="AO52" s="9"/>
      <c r="AP52" s="9"/>
      <c r="AQ52" s="9"/>
      <c r="AR52" s="9"/>
      <c r="AT52">
        <v>59</v>
      </c>
      <c r="AU52" s="117">
        <v>0</v>
      </c>
      <c r="AV52" s="118">
        <v>0</v>
      </c>
      <c r="AW52" s="117">
        <v>3.1731454426656902</v>
      </c>
      <c r="AX52" s="118">
        <v>2.10991471956233</v>
      </c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1:69">
      <c r="A53" s="9"/>
      <c r="B53" s="17">
        <v>62</v>
      </c>
      <c r="C53" s="103">
        <v>21.35</v>
      </c>
      <c r="D53" s="18"/>
      <c r="E53" s="17">
        <v>62</v>
      </c>
      <c r="F53" s="106">
        <v>21.597530003483001</v>
      </c>
      <c r="G53" s="11"/>
      <c r="H53" s="9"/>
      <c r="I53" s="9"/>
      <c r="J53" s="17">
        <v>62</v>
      </c>
      <c r="K53" s="107">
        <v>4.9091744923591598</v>
      </c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17">
        <v>62</v>
      </c>
      <c r="X53" s="13">
        <v>6.0000000000000001E-3</v>
      </c>
      <c r="Y53" s="9"/>
      <c r="Z53" s="17"/>
      <c r="AA53" s="14"/>
      <c r="AB53" s="9"/>
      <c r="AC53" s="9"/>
      <c r="AD53" s="9"/>
      <c r="AE53" s="9"/>
      <c r="AF53" s="9"/>
      <c r="AG53" s="9">
        <v>59</v>
      </c>
      <c r="AH53" s="181">
        <v>5.48</v>
      </c>
      <c r="AI53" s="9"/>
      <c r="AJ53" s="9">
        <v>59</v>
      </c>
      <c r="AK53" s="183">
        <v>4.71</v>
      </c>
      <c r="AL53" s="9"/>
      <c r="AM53" s="9">
        <v>59</v>
      </c>
      <c r="AN53" s="12">
        <v>0.215</v>
      </c>
      <c r="AO53" s="9"/>
      <c r="AP53" s="9"/>
      <c r="AQ53" s="9"/>
      <c r="AR53" s="9"/>
      <c r="AT53">
        <v>60</v>
      </c>
      <c r="AU53" s="117">
        <v>0</v>
      </c>
      <c r="AV53" s="118">
        <v>0</v>
      </c>
      <c r="AW53" s="117">
        <v>2.6452207052579499</v>
      </c>
      <c r="AX53" s="118">
        <v>1.5726830720056999</v>
      </c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</row>
    <row r="54" spans="1:69">
      <c r="A54" s="9"/>
      <c r="B54" s="17">
        <v>63</v>
      </c>
      <c r="C54" s="103">
        <v>20.72</v>
      </c>
      <c r="D54" s="18"/>
      <c r="E54" s="17">
        <v>63</v>
      </c>
      <c r="F54" s="106">
        <v>20.877912215614302</v>
      </c>
      <c r="G54" s="11"/>
      <c r="H54" s="9"/>
      <c r="I54" s="9"/>
      <c r="J54" s="17">
        <v>63</v>
      </c>
      <c r="K54" s="107">
        <v>3.9432467182874702</v>
      </c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17">
        <v>63</v>
      </c>
      <c r="X54" s="13">
        <v>6.0000000000000001E-3</v>
      </c>
      <c r="Y54" s="9"/>
      <c r="Z54" s="17"/>
      <c r="AA54" s="14"/>
      <c r="AB54" s="9"/>
      <c r="AC54" s="9"/>
      <c r="AD54" s="9"/>
      <c r="AE54" s="9"/>
      <c r="AF54" s="9"/>
      <c r="AG54" s="9">
        <v>60</v>
      </c>
      <c r="AH54" s="181">
        <v>5.99</v>
      </c>
      <c r="AI54" s="9"/>
      <c r="AJ54" s="9">
        <v>60</v>
      </c>
      <c r="AK54" s="183">
        <v>5.15</v>
      </c>
      <c r="AL54" s="9"/>
      <c r="AM54" s="9">
        <v>60</v>
      </c>
      <c r="AN54" s="12">
        <v>0.25800000000000001</v>
      </c>
      <c r="AO54" s="9"/>
      <c r="AP54" s="9"/>
      <c r="AQ54" s="9"/>
      <c r="AR54" s="9"/>
      <c r="AT54">
        <v>61</v>
      </c>
      <c r="AU54" s="117">
        <v>0</v>
      </c>
      <c r="AV54" s="118">
        <v>0</v>
      </c>
      <c r="AW54" s="117">
        <v>2.10991471956233</v>
      </c>
      <c r="AX54" s="118">
        <v>1.04010914751182</v>
      </c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1:69">
      <c r="A55" s="9"/>
      <c r="B55" s="15">
        <v>64</v>
      </c>
      <c r="C55" s="103">
        <v>20.09</v>
      </c>
      <c r="D55" s="16"/>
      <c r="E55" s="15">
        <v>64</v>
      </c>
      <c r="F55" s="106">
        <v>20.169722188359501</v>
      </c>
      <c r="G55" s="11"/>
      <c r="H55" s="9"/>
      <c r="I55" s="9"/>
      <c r="J55" s="15">
        <v>64</v>
      </c>
      <c r="K55" s="107">
        <v>2.96770103931427</v>
      </c>
      <c r="L55" s="16"/>
      <c r="M55" s="9"/>
      <c r="N55" s="9"/>
      <c r="O55" s="9"/>
      <c r="P55" s="9"/>
      <c r="Q55" s="9"/>
      <c r="R55" s="9"/>
      <c r="S55" s="9"/>
      <c r="T55" s="9"/>
      <c r="U55" s="9"/>
      <c r="V55" s="9"/>
      <c r="W55" s="15">
        <v>64</v>
      </c>
      <c r="X55" s="13">
        <v>6.0000000000000001E-3</v>
      </c>
      <c r="Y55" s="9"/>
      <c r="Z55" s="15"/>
      <c r="AA55" s="14"/>
      <c r="AB55" s="9"/>
      <c r="AC55" s="9"/>
      <c r="AD55" s="9"/>
      <c r="AE55" s="9"/>
      <c r="AF55" s="9"/>
      <c r="AG55" s="9">
        <v>61</v>
      </c>
      <c r="AH55" s="181">
        <v>6.64</v>
      </c>
      <c r="AI55" s="9"/>
      <c r="AJ55" s="9">
        <v>61</v>
      </c>
      <c r="AK55" s="183">
        <v>5.71</v>
      </c>
      <c r="AL55" s="9"/>
      <c r="AM55" s="9">
        <v>61</v>
      </c>
      <c r="AN55" s="12">
        <v>0.25800000000000001</v>
      </c>
      <c r="AO55" s="9"/>
      <c r="AP55" s="9"/>
      <c r="AQ55" s="9"/>
      <c r="AR55" s="9"/>
      <c r="AT55">
        <v>62</v>
      </c>
      <c r="AU55" s="117">
        <v>0</v>
      </c>
      <c r="AV55" s="118">
        <v>0</v>
      </c>
      <c r="AW55" s="117">
        <v>1.5726830720056999</v>
      </c>
      <c r="AX55" s="118">
        <v>0.51576605906469897</v>
      </c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1:69">
      <c r="A56" s="9"/>
      <c r="B56" s="9">
        <v>65</v>
      </c>
      <c r="C56" s="103">
        <v>19.45</v>
      </c>
      <c r="D56" s="9"/>
      <c r="E56" s="9">
        <v>65</v>
      </c>
      <c r="F56" s="106">
        <v>19.45</v>
      </c>
      <c r="G56" s="11"/>
      <c r="H56" s="9"/>
      <c r="I56" s="9"/>
      <c r="J56" s="9">
        <v>65</v>
      </c>
      <c r="K56" s="107">
        <v>1.9850155901908899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65</v>
      </c>
      <c r="X56" s="13">
        <v>0</v>
      </c>
      <c r="Y56" s="9"/>
      <c r="Z56" s="9"/>
      <c r="AA56" s="10"/>
      <c r="AB56" s="9"/>
      <c r="AC56" s="9"/>
      <c r="AD56" s="9"/>
      <c r="AE56" s="9"/>
      <c r="AF56" s="9"/>
      <c r="AG56" s="9">
        <v>62</v>
      </c>
      <c r="AH56" s="181">
        <v>7.43</v>
      </c>
      <c r="AI56" s="9"/>
      <c r="AJ56" s="9">
        <v>62</v>
      </c>
      <c r="AK56" s="183">
        <v>6.39</v>
      </c>
      <c r="AL56" s="9"/>
      <c r="AM56" s="9">
        <v>62</v>
      </c>
      <c r="AN56" s="12">
        <v>0.25800000000000001</v>
      </c>
      <c r="AO56" s="9"/>
      <c r="AP56" s="9"/>
      <c r="AQ56" s="9"/>
      <c r="AR56" s="9"/>
      <c r="AT56">
        <v>63</v>
      </c>
      <c r="AU56" s="117">
        <v>0</v>
      </c>
      <c r="AV56" s="118">
        <v>0</v>
      </c>
      <c r="AW56" s="117">
        <v>1.04010914751182</v>
      </c>
      <c r="AX56" s="118">
        <v>0</v>
      </c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1:69">
      <c r="A57" s="9"/>
      <c r="B57" s="9">
        <v>66</v>
      </c>
      <c r="C57" s="103">
        <v>18.79</v>
      </c>
      <c r="D57" s="9"/>
      <c r="E57" s="9">
        <v>66</v>
      </c>
      <c r="F57" s="106">
        <v>18.79</v>
      </c>
      <c r="G57" s="11"/>
      <c r="H57" s="9"/>
      <c r="I57" s="9"/>
      <c r="J57" s="9">
        <v>66</v>
      </c>
      <c r="K57" s="107">
        <v>0.99581308588385598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v>66</v>
      </c>
      <c r="X57" s="13">
        <v>0</v>
      </c>
      <c r="Y57" s="9"/>
      <c r="Z57" s="9"/>
      <c r="AA57" s="10"/>
      <c r="AB57" s="9"/>
      <c r="AC57" s="9"/>
      <c r="AD57" s="9"/>
      <c r="AE57" s="9"/>
      <c r="AF57" s="9"/>
      <c r="AG57" s="9">
        <v>63</v>
      </c>
      <c r="AH57" s="181">
        <v>8.32</v>
      </c>
      <c r="AI57" s="9"/>
      <c r="AJ57" s="9">
        <v>63</v>
      </c>
      <c r="AK57" s="183">
        <v>7.15</v>
      </c>
      <c r="AL57" s="9"/>
      <c r="AM57" s="9">
        <v>63</v>
      </c>
      <c r="AN57" s="12">
        <v>0.25800000000000001</v>
      </c>
      <c r="AO57" s="9"/>
      <c r="AP57" s="9"/>
      <c r="AQ57" s="9"/>
      <c r="AR57" s="9"/>
      <c r="AT57">
        <v>64</v>
      </c>
      <c r="AU57" s="117">
        <v>0</v>
      </c>
      <c r="AV57" s="118">
        <v>0</v>
      </c>
      <c r="AW57" s="117">
        <v>0.51576605906469897</v>
      </c>
      <c r="AX57" s="118">
        <v>0</v>
      </c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69">
      <c r="A58" s="9"/>
      <c r="B58" s="9">
        <v>67</v>
      </c>
      <c r="C58" s="103">
        <v>18.13</v>
      </c>
      <c r="D58" s="9"/>
      <c r="E58" s="9">
        <v>67</v>
      </c>
      <c r="F58" s="106">
        <v>18.13</v>
      </c>
      <c r="G58" s="11"/>
      <c r="H58" s="9"/>
      <c r="I58" s="9"/>
      <c r="J58" s="9">
        <v>67</v>
      </c>
      <c r="K58" s="107"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67</v>
      </c>
      <c r="X58" s="13">
        <v>0</v>
      </c>
      <c r="Y58" s="9"/>
      <c r="Z58" s="9"/>
      <c r="AA58" s="10"/>
      <c r="AB58" s="9"/>
      <c r="AC58" s="9"/>
      <c r="AD58" s="9"/>
      <c r="AE58" s="9"/>
      <c r="AF58" s="9"/>
      <c r="AG58" s="9">
        <v>64</v>
      </c>
      <c r="AH58" s="181">
        <v>9.32</v>
      </c>
      <c r="AI58" s="9"/>
      <c r="AJ58" s="9">
        <v>64</v>
      </c>
      <c r="AK58" s="183">
        <v>8</v>
      </c>
      <c r="AL58" s="9"/>
      <c r="AM58" s="9">
        <v>64</v>
      </c>
      <c r="AN58" s="12">
        <v>0.25800000000000001</v>
      </c>
      <c r="AO58" s="9"/>
      <c r="AP58" s="9"/>
      <c r="AQ58" s="9"/>
      <c r="AR58" s="9"/>
      <c r="AT58">
        <v>65</v>
      </c>
      <c r="AU58" s="117">
        <v>0</v>
      </c>
      <c r="AV58" s="118">
        <v>0</v>
      </c>
      <c r="AW58" s="117">
        <v>0</v>
      </c>
      <c r="AX58" s="118">
        <v>0</v>
      </c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69" ht="13.5" thickBot="1">
      <c r="A59" s="9"/>
      <c r="B59" s="9">
        <v>68</v>
      </c>
      <c r="C59" s="104">
        <v>17.45</v>
      </c>
      <c r="D59" s="9"/>
      <c r="E59" s="9">
        <v>68</v>
      </c>
      <c r="F59" s="104">
        <v>17.45</v>
      </c>
      <c r="G59" s="11"/>
      <c r="H59" s="9"/>
      <c r="I59" s="9"/>
      <c r="J59" s="9">
        <v>68</v>
      </c>
      <c r="K59" s="108" t="s">
        <v>17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68</v>
      </c>
      <c r="X59" s="9"/>
      <c r="Y59" s="9"/>
      <c r="Z59" s="9"/>
      <c r="AA59" s="10"/>
      <c r="AB59" s="9"/>
      <c r="AC59" s="9"/>
      <c r="AD59" s="9"/>
      <c r="AE59" s="9"/>
      <c r="AF59" s="9"/>
      <c r="AG59" s="9">
        <v>65</v>
      </c>
      <c r="AH59" s="182">
        <v>10.37</v>
      </c>
      <c r="AI59" s="9"/>
      <c r="AJ59" s="9">
        <v>65</v>
      </c>
      <c r="AK59" s="183">
        <v>8.91</v>
      </c>
      <c r="AL59" s="9"/>
      <c r="AM59" s="9"/>
      <c r="AN59" s="9"/>
      <c r="AO59" s="9"/>
      <c r="AP59" s="9"/>
      <c r="AQ59" s="9"/>
      <c r="AR59" s="9"/>
      <c r="AT59">
        <v>65</v>
      </c>
      <c r="AU59" s="119">
        <v>0</v>
      </c>
      <c r="AV59" s="120">
        <v>0</v>
      </c>
      <c r="AW59" s="119">
        <v>0</v>
      </c>
      <c r="AX59" s="120">
        <v>0</v>
      </c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69" ht="13.5" thickBot="1">
      <c r="A60" s="9"/>
      <c r="B60" s="9">
        <v>69</v>
      </c>
      <c r="C60" s="104">
        <v>16.78</v>
      </c>
      <c r="D60" s="9"/>
      <c r="E60" s="9">
        <v>69</v>
      </c>
      <c r="F60" s="104">
        <v>16.78</v>
      </c>
      <c r="G60" s="11"/>
      <c r="H60" s="9"/>
      <c r="I60" s="9"/>
      <c r="J60" s="9">
        <v>69</v>
      </c>
      <c r="K60" s="108" t="s">
        <v>17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>
        <v>69</v>
      </c>
      <c r="X60" s="9"/>
      <c r="Y60" s="9"/>
      <c r="Z60" s="9"/>
      <c r="AA60" s="10"/>
      <c r="AB60" s="9"/>
      <c r="AC60" s="9"/>
      <c r="AD60" s="9"/>
      <c r="AE60" s="9"/>
      <c r="AF60" s="9"/>
      <c r="AG60" s="9">
        <v>66</v>
      </c>
      <c r="AH60" s="182">
        <v>11.4</v>
      </c>
      <c r="AI60" s="9"/>
      <c r="AJ60" s="9">
        <v>66</v>
      </c>
      <c r="AK60" s="183">
        <v>9.7899999999999991</v>
      </c>
      <c r="AL60" s="9"/>
      <c r="AM60" s="9"/>
      <c r="AN60" s="9"/>
      <c r="AO60" s="9"/>
      <c r="AP60" s="9"/>
      <c r="AQ60" s="9"/>
      <c r="AR60" s="9"/>
      <c r="AT60" s="110">
        <v>66</v>
      </c>
      <c r="AU60" s="119">
        <v>0</v>
      </c>
      <c r="AV60" s="120">
        <v>0</v>
      </c>
      <c r="AW60" s="119">
        <v>0</v>
      </c>
      <c r="AX60" s="120">
        <v>0</v>
      </c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69">
      <c r="A61" s="9"/>
      <c r="B61" s="9">
        <v>70</v>
      </c>
      <c r="C61" s="104">
        <v>16.100000000000001</v>
      </c>
      <c r="D61" s="9"/>
      <c r="E61" s="9">
        <v>70</v>
      </c>
      <c r="F61" s="104">
        <v>16.100000000000001</v>
      </c>
      <c r="G61" s="9"/>
      <c r="H61" s="9"/>
      <c r="I61" s="9"/>
      <c r="J61" s="9">
        <v>70</v>
      </c>
      <c r="K61" s="108" t="s">
        <v>17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70</v>
      </c>
      <c r="X61" s="9"/>
      <c r="Y61" s="9"/>
      <c r="Z61" s="9"/>
      <c r="AA61" s="10"/>
      <c r="AB61" s="9"/>
      <c r="AC61" s="9"/>
      <c r="AD61" s="9"/>
      <c r="AE61" s="9"/>
      <c r="AF61" s="9"/>
      <c r="AG61" s="9">
        <v>67</v>
      </c>
      <c r="AH61" s="182">
        <v>12.45</v>
      </c>
      <c r="AI61" s="9"/>
      <c r="AJ61" s="9">
        <v>67</v>
      </c>
      <c r="AK61" s="183">
        <v>10.69</v>
      </c>
      <c r="AL61" s="9"/>
      <c r="AM61" s="9"/>
      <c r="AN61" s="9"/>
      <c r="AO61" s="9"/>
      <c r="AP61" s="9"/>
      <c r="AQ61" s="9"/>
      <c r="AR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</row>
    <row r="62" spans="1:69">
      <c r="A62" s="9"/>
      <c r="B62" s="9">
        <v>71</v>
      </c>
      <c r="C62" s="105">
        <v>0</v>
      </c>
      <c r="D62" s="9"/>
      <c r="E62" s="9">
        <v>71</v>
      </c>
      <c r="F62" s="105">
        <v>0</v>
      </c>
      <c r="G62" s="9"/>
      <c r="H62" s="9"/>
      <c r="I62" s="9"/>
      <c r="J62" s="9">
        <v>71</v>
      </c>
      <c r="K62" s="108" t="s">
        <v>17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v>71</v>
      </c>
      <c r="X62" s="9"/>
      <c r="Y62" s="9"/>
      <c r="Z62" s="9"/>
      <c r="AA62" s="10"/>
      <c r="AB62" s="9"/>
      <c r="AC62" s="9"/>
      <c r="AD62" s="9"/>
      <c r="AE62" s="9"/>
      <c r="AF62" s="9"/>
      <c r="AG62" s="9">
        <v>68</v>
      </c>
      <c r="AH62" s="182">
        <v>13.62</v>
      </c>
      <c r="AI62" s="9"/>
      <c r="AJ62" s="9">
        <v>68</v>
      </c>
      <c r="AK62" s="183">
        <v>11.7</v>
      </c>
      <c r="AL62" s="9"/>
      <c r="AM62" s="9"/>
      <c r="AN62" s="9"/>
      <c r="AO62" s="9"/>
      <c r="AP62" s="9"/>
      <c r="AQ62" s="9"/>
      <c r="AR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</row>
    <row r="63" spans="1:69">
      <c r="A63" s="9"/>
      <c r="B63" s="9">
        <v>72</v>
      </c>
      <c r="C63" s="105">
        <v>0</v>
      </c>
      <c r="D63" s="9"/>
      <c r="E63" s="9">
        <v>72</v>
      </c>
      <c r="F63" s="105">
        <v>0</v>
      </c>
      <c r="G63" s="9"/>
      <c r="H63" s="9"/>
      <c r="I63" s="9"/>
      <c r="J63" s="9">
        <v>72</v>
      </c>
      <c r="K63" s="108" t="s">
        <v>17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v>72</v>
      </c>
      <c r="X63" s="9"/>
      <c r="Y63" s="9"/>
      <c r="Z63" s="9"/>
      <c r="AA63" s="10"/>
      <c r="AB63" s="9"/>
      <c r="AC63" s="9"/>
      <c r="AD63" s="9"/>
      <c r="AE63" s="9"/>
      <c r="AF63" s="9"/>
      <c r="AG63" s="9">
        <v>69</v>
      </c>
      <c r="AH63" s="182">
        <v>14.88</v>
      </c>
      <c r="AI63" s="9"/>
      <c r="AJ63" s="9">
        <v>69</v>
      </c>
      <c r="AK63" s="183">
        <v>12.78</v>
      </c>
      <c r="AL63" s="9"/>
      <c r="AM63" s="9"/>
      <c r="AN63" s="9"/>
      <c r="AO63" s="9"/>
      <c r="AP63" s="9"/>
      <c r="AQ63" s="9"/>
      <c r="AR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</row>
    <row r="64" spans="1:69">
      <c r="A64" s="9"/>
      <c r="B64" s="9">
        <v>73</v>
      </c>
      <c r="C64" s="105">
        <v>0</v>
      </c>
      <c r="D64" s="9"/>
      <c r="E64" s="9">
        <v>73</v>
      </c>
      <c r="F64" s="105">
        <v>0</v>
      </c>
      <c r="G64" s="9"/>
      <c r="H64" s="9"/>
      <c r="I64" s="9"/>
      <c r="J64" s="9">
        <v>73</v>
      </c>
      <c r="K64" s="108" t="s">
        <v>17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73</v>
      </c>
      <c r="X64" s="9"/>
      <c r="Y64" s="9"/>
      <c r="Z64" s="9"/>
      <c r="AA64" s="9"/>
      <c r="AB64" s="9"/>
      <c r="AC64" s="9"/>
      <c r="AD64" s="9"/>
      <c r="AE64" s="9"/>
      <c r="AF64" s="9"/>
      <c r="AG64" s="9">
        <v>70</v>
      </c>
      <c r="AH64" s="182">
        <v>16.510000000000002</v>
      </c>
      <c r="AI64" s="9"/>
      <c r="AJ64" s="9">
        <v>70</v>
      </c>
      <c r="AK64" s="183">
        <v>14.17</v>
      </c>
      <c r="AL64" s="9"/>
      <c r="AM64" s="9"/>
      <c r="AN64" s="9"/>
      <c r="AO64" s="9"/>
      <c r="AP64" s="9"/>
      <c r="AQ64" s="9"/>
      <c r="AR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1:69">
      <c r="A65" s="9"/>
      <c r="B65" s="9">
        <v>74</v>
      </c>
      <c r="C65" s="105">
        <v>0</v>
      </c>
      <c r="D65" s="9"/>
      <c r="E65" s="9">
        <v>74</v>
      </c>
      <c r="F65" s="105">
        <v>0</v>
      </c>
      <c r="G65" s="9"/>
      <c r="H65" s="9"/>
      <c r="I65" s="9"/>
      <c r="J65" s="9">
        <v>74</v>
      </c>
      <c r="K65" s="108" t="s">
        <v>17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74</v>
      </c>
      <c r="X65" s="9"/>
      <c r="Y65" s="9"/>
      <c r="Z65" s="9"/>
      <c r="AA65" s="9"/>
      <c r="AB65" s="9"/>
      <c r="AC65" s="9"/>
      <c r="AD65" s="9"/>
      <c r="AE65" s="9"/>
      <c r="AF65" s="9"/>
      <c r="AG65" s="9">
        <v>71</v>
      </c>
      <c r="AH65" s="9"/>
      <c r="AI65" s="9"/>
      <c r="AJ65" s="9">
        <v>71</v>
      </c>
      <c r="AK65" s="9"/>
      <c r="AL65" s="9"/>
      <c r="AM65" s="9"/>
      <c r="AN65" s="9"/>
      <c r="AO65" s="9"/>
      <c r="AP65" s="9"/>
      <c r="AQ65" s="9"/>
      <c r="AR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1:69">
      <c r="A66" s="9"/>
      <c r="B66" s="9">
        <v>75</v>
      </c>
      <c r="C66" s="105">
        <v>0</v>
      </c>
      <c r="D66" s="9"/>
      <c r="E66" s="9">
        <v>75</v>
      </c>
      <c r="F66" s="105">
        <v>0</v>
      </c>
      <c r="G66" s="9"/>
      <c r="H66" s="9"/>
      <c r="I66" s="9"/>
      <c r="J66" s="9">
        <v>75</v>
      </c>
      <c r="K66" s="108" t="s">
        <v>17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v>75</v>
      </c>
      <c r="X66" s="9"/>
      <c r="Y66" s="9"/>
      <c r="Z66" s="9"/>
      <c r="AA66" s="9"/>
      <c r="AB66" s="9"/>
      <c r="AC66" s="9"/>
      <c r="AD66" s="9"/>
      <c r="AE66" s="9"/>
      <c r="AF66" s="9"/>
      <c r="AG66" s="9">
        <v>72</v>
      </c>
      <c r="AH66" s="9"/>
      <c r="AI66" s="9"/>
      <c r="AJ66" s="9">
        <v>72</v>
      </c>
      <c r="AK66" s="9"/>
      <c r="AL66" s="9"/>
      <c r="AM66" s="9"/>
      <c r="AN66" s="9"/>
      <c r="AO66" s="9"/>
      <c r="AP66" s="9"/>
      <c r="AQ66" s="9"/>
      <c r="AR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</row>
    <row r="67" spans="1:69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>
        <v>73</v>
      </c>
      <c r="AH67" s="9"/>
      <c r="AI67" s="9"/>
      <c r="AJ67" s="9">
        <v>73</v>
      </c>
      <c r="AK67" s="9"/>
      <c r="AL67" s="9"/>
      <c r="AM67" s="9"/>
      <c r="AN67" s="9"/>
      <c r="AO67" s="9"/>
      <c r="AP67" s="9"/>
      <c r="AQ67" s="9"/>
      <c r="AR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</row>
    <row r="68" spans="1:69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v>74</v>
      </c>
      <c r="AH68" s="9"/>
      <c r="AI68" s="9"/>
      <c r="AJ68" s="9">
        <v>74</v>
      </c>
      <c r="AK68" s="9"/>
      <c r="AL68" s="9"/>
      <c r="AM68" s="9"/>
      <c r="AN68" s="9"/>
      <c r="AO68" s="9"/>
      <c r="AP68" s="9"/>
      <c r="AQ68" s="9"/>
      <c r="AR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1: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>
        <v>75</v>
      </c>
      <c r="AH69" s="9"/>
      <c r="AI69" s="9"/>
      <c r="AJ69" s="9">
        <v>75</v>
      </c>
      <c r="AK69" s="9"/>
      <c r="AL69" s="9"/>
      <c r="AM69" s="9"/>
      <c r="AN69" s="9"/>
      <c r="AO69" s="9"/>
      <c r="AP69" s="9"/>
      <c r="AQ69" s="9"/>
      <c r="AR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1:69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1:6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</row>
    <row r="72" spans="1:6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</row>
    <row r="73" spans="1:6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</row>
    <row r="74" spans="1:6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</row>
    <row r="75" spans="1:6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</row>
    <row r="76" spans="1:6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</row>
    <row r="77" spans="1:6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1:6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</row>
    <row r="79" spans="1:6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1:6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</row>
    <row r="81" spans="1:6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</row>
    <row r="82" spans="1:6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</row>
    <row r="83" spans="1:6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</row>
    <row r="84" spans="1:6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</row>
    <row r="85" spans="1:6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</row>
    <row r="86" spans="1:6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1:6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</row>
    <row r="88" spans="1:6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1:6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</row>
    <row r="90" spans="1:6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</row>
    <row r="91" spans="1:6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</row>
    <row r="92" spans="1:6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</row>
    <row r="93" spans="1:6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</row>
    <row r="94" spans="1:6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</row>
    <row r="95" spans="1:6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</row>
    <row r="96" spans="1:6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</row>
    <row r="97" spans="1:6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1:6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</row>
    <row r="99" spans="1:6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</row>
    <row r="100" spans="1:6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</row>
    <row r="101" spans="1:6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</row>
    <row r="102" spans="1:6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</row>
    <row r="103" spans="1:6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</row>
    <row r="104" spans="1:6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1:6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</row>
    <row r="106" spans="1:6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</row>
    <row r="107" spans="1:6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</row>
    <row r="108" spans="1:6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</row>
    <row r="109" spans="1:6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</row>
    <row r="110" spans="1:6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</row>
    <row r="111" spans="1:6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</row>
    <row r="112" spans="1:6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</row>
    <row r="113" spans="1:6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</row>
    <row r="114" spans="1:6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</row>
    <row r="115" spans="1:6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</row>
    <row r="116" spans="1:6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</row>
    <row r="117" spans="1:6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</row>
    <row r="118" spans="1:6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</row>
    <row r="119" spans="1:6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</row>
    <row r="120" spans="1:6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</row>
    <row r="121" spans="1:6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</row>
    <row r="122" spans="1:6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</row>
    <row r="123" spans="1:6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</row>
    <row r="124" spans="1:6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</row>
    <row r="125" spans="1:6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</row>
    <row r="126" spans="1:6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</row>
    <row r="127" spans="1:6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</row>
    <row r="128" spans="1:6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6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</row>
    <row r="130" spans="1:6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</row>
    <row r="131" spans="1:6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</row>
    <row r="132" spans="1:6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</row>
    <row r="133" spans="1:6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</row>
    <row r="134" spans="1:6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</row>
    <row r="135" spans="1:6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</row>
    <row r="136" spans="1:6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</row>
    <row r="137" spans="1:6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</row>
    <row r="138" spans="1:6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</row>
    <row r="139" spans="1:6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</row>
    <row r="140" spans="1:6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</row>
    <row r="141" spans="1:6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</row>
    <row r="142" spans="1:6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</row>
    <row r="143" spans="1:6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</row>
    <row r="144" spans="1:6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</row>
    <row r="145" spans="1:6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</row>
    <row r="146" spans="1:6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</row>
    <row r="147" spans="1:6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</row>
    <row r="148" spans="1:6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</row>
    <row r="149" spans="1:6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</row>
    <row r="150" spans="1:6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</row>
    <row r="151" spans="1:6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</row>
    <row r="152" spans="1:6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6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</row>
    <row r="154" spans="1:6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</row>
    <row r="155" spans="1:6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</row>
    <row r="156" spans="1:6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</row>
    <row r="157" spans="1:6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</row>
    <row r="158" spans="1:6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</row>
    <row r="159" spans="1:6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</row>
    <row r="160" spans="1:6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</row>
    <row r="161" spans="1:6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</row>
    <row r="162" spans="1:6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</row>
    <row r="163" spans="1:6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</row>
    <row r="164" spans="1:6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</row>
    <row r="165" spans="1:6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</row>
    <row r="166" spans="1:6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</row>
    <row r="167" spans="1:6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</row>
    <row r="168" spans="1:6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</row>
    <row r="169" spans="1: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</row>
    <row r="170" spans="1:6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</row>
    <row r="171" spans="1:6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</row>
    <row r="172" spans="1:6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</row>
    <row r="173" spans="1:6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</row>
    <row r="174" spans="1:6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</row>
    <row r="175" spans="1:6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</row>
    <row r="176" spans="1:6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</row>
    <row r="177" spans="1:6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</row>
    <row r="178" spans="1:6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</row>
    <row r="179" spans="1:6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</row>
    <row r="180" spans="1:6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</row>
    <row r="181" spans="1:6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</row>
    <row r="182" spans="1:6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</row>
    <row r="183" spans="1:69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</row>
    <row r="184" spans="1:69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</row>
    <row r="185" spans="1:69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</row>
    <row r="186" spans="1:69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</row>
    <row r="187" spans="1:69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</row>
    <row r="188" spans="1:69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</row>
    <row r="189" spans="1:6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</row>
    <row r="190" spans="1:69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</row>
    <row r="191" spans="1:69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</row>
    <row r="192" spans="1:69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</row>
    <row r="193" spans="1:69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</row>
    <row r="194" spans="1:69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</row>
    <row r="195" spans="1:69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</row>
    <row r="196" spans="1:69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</row>
    <row r="197" spans="1:69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</row>
    <row r="198" spans="1:69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</row>
    <row r="199" spans="1:6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</row>
    <row r="200" spans="1:69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</row>
    <row r="201" spans="1:69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</row>
    <row r="202" spans="1:69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</row>
    <row r="203" spans="1:69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</row>
    <row r="204" spans="1:69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</row>
    <row r="205" spans="1:69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</row>
    <row r="206" spans="1:69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</row>
    <row r="207" spans="1:69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</row>
    <row r="208" spans="1:69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</row>
    <row r="209" spans="1:6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</row>
    <row r="210" spans="1:69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</row>
    <row r="211" spans="1:6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</row>
    <row r="212" spans="1:69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</row>
    <row r="213" spans="1:69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</row>
    <row r="214" spans="1:69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</row>
    <row r="215" spans="1:69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</row>
    <row r="216" spans="1:69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</row>
    <row r="217" spans="1:69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</row>
    <row r="218" spans="1:69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</row>
    <row r="219" spans="1:6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</row>
    <row r="220" spans="1:69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</row>
    <row r="221" spans="1:69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</row>
    <row r="222" spans="1:69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</row>
    <row r="223" spans="1:69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</row>
    <row r="224" spans="1:69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</row>
    <row r="225" spans="1:6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</row>
    <row r="226" spans="1:6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</row>
    <row r="227" spans="1:6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</row>
    <row r="228" spans="1:6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</row>
    <row r="229" spans="1:6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</row>
    <row r="230" spans="1:6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</row>
    <row r="231" spans="1:6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</row>
    <row r="232" spans="1:6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</row>
    <row r="233" spans="1:6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</row>
    <row r="234" spans="1:6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</row>
    <row r="235" spans="1:6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</row>
    <row r="236" spans="1:6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</row>
    <row r="237" spans="1:6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</row>
    <row r="238" spans="1:6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</row>
    <row r="239" spans="1:6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</row>
    <row r="240" spans="1:6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</row>
  </sheetData>
  <pageMargins left="0.70866141732283505" right="0.70866141732283505" top="0.74803149606299202" bottom="0.74803149606299202" header="0.31496062992126" footer="0.31496062992126"/>
  <pageSetup paperSize="9" scale="1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78</vt:i4>
      </vt:variant>
    </vt:vector>
  </HeadingPairs>
  <TitlesOfParts>
    <vt:vector size="83" baseType="lpstr">
      <vt:lpstr>OUTPUT</vt:lpstr>
      <vt:lpstr>INPUT</vt:lpstr>
      <vt:lpstr>Nabestaandenpensioen</vt:lpstr>
      <vt:lpstr>Wezenpensioen</vt:lpstr>
      <vt:lpstr>Tabellen</vt:lpstr>
      <vt:lpstr>Nabestaandenpensioen!Afdrukbereik</vt:lpstr>
      <vt:lpstr>Tabellen!Afdrukbereik</vt:lpstr>
      <vt:lpstr>Nabestaandenpensioen!Afdruktitels</vt:lpstr>
      <vt:lpstr>betalingstermijn</vt:lpstr>
      <vt:lpstr>Cluster</vt:lpstr>
      <vt:lpstr>CWANW</vt:lpstr>
      <vt:lpstr>cwnp21</vt:lpstr>
      <vt:lpstr>cwnp27</vt:lpstr>
      <vt:lpstr>CWWZP</vt:lpstr>
      <vt:lpstr>geenpool</vt:lpstr>
      <vt:lpstr>gemiddeld</vt:lpstr>
      <vt:lpstr>input_aantal_kinderen</vt:lpstr>
      <vt:lpstr>input_betalingstermijn</vt:lpstr>
      <vt:lpstr>input_burgerlijkestaat</vt:lpstr>
      <vt:lpstr>input_cluster</vt:lpstr>
      <vt:lpstr>input_correctiepercentage</vt:lpstr>
      <vt:lpstr>input_datum_in_dienst</vt:lpstr>
      <vt:lpstr>input_deelnemersjaren_vanaf</vt:lpstr>
      <vt:lpstr>input_franchise</vt:lpstr>
      <vt:lpstr>input_fulltime_salaris</vt:lpstr>
      <vt:lpstr>input_geboortedatum</vt:lpstr>
      <vt:lpstr>input_geboortedatum_k1</vt:lpstr>
      <vt:lpstr>input_geboortedatum_k2</vt:lpstr>
      <vt:lpstr>input_geboortedatum_k3</vt:lpstr>
      <vt:lpstr>input_geboortedatum_k4</vt:lpstr>
      <vt:lpstr>input_geboortedatum_k5</vt:lpstr>
      <vt:lpstr>input_geboortedatum_partner</vt:lpstr>
      <vt:lpstr>input_geknipte_regeling</vt:lpstr>
      <vt:lpstr>input_geslacht</vt:lpstr>
      <vt:lpstr>input_geslacht_partner</vt:lpstr>
      <vt:lpstr>input_knip_aanspraak_np</vt:lpstr>
      <vt:lpstr>input_knip_aanspraak_wzp</vt:lpstr>
      <vt:lpstr>input_knip_meeverzekeren</vt:lpstr>
      <vt:lpstr>input_kortingspercentage_np</vt:lpstr>
      <vt:lpstr>input_kortingspercentage_wzp</vt:lpstr>
      <vt:lpstr>input_max_pensioensalaris</vt:lpstr>
      <vt:lpstr>input_np_max_looptijd</vt:lpstr>
      <vt:lpstr>input_np_perc_per_dj</vt:lpstr>
      <vt:lpstr>input_np_premie_perc_wg</vt:lpstr>
      <vt:lpstr>input_np_premie_perc_wn</vt:lpstr>
      <vt:lpstr>input_parttime_percentage</vt:lpstr>
      <vt:lpstr>input_Pensioengevend_Salaris</vt:lpstr>
      <vt:lpstr>input_Pensioengrondslag</vt:lpstr>
      <vt:lpstr>input_pensioenleeftijd</vt:lpstr>
      <vt:lpstr>input_periodesalaris</vt:lpstr>
      <vt:lpstr>input_poliskosten</vt:lpstr>
      <vt:lpstr>input_poolwinst</vt:lpstr>
      <vt:lpstr>input_stijgende_uitkering</vt:lpstr>
      <vt:lpstr>input_waardeoverdracht</vt:lpstr>
      <vt:lpstr>input_waardeoverzdracht</vt:lpstr>
      <vt:lpstr>input_wijzigingsdatum</vt:lpstr>
      <vt:lpstr>input_wzp_eindleeftijd</vt:lpstr>
      <vt:lpstr>input_wzp_perc_np</vt:lpstr>
      <vt:lpstr>input_wzp_premie_perc_wg</vt:lpstr>
      <vt:lpstr>input_wzp_premie_perc_wn</vt:lpstr>
      <vt:lpstr>INPUT!kapwzp</vt:lpstr>
      <vt:lpstr>Opslag</vt:lpstr>
      <vt:lpstr>output_franchise</vt:lpstr>
      <vt:lpstr>output_gewogen_parttime_perc</vt:lpstr>
      <vt:lpstr>output_partnerpensioen</vt:lpstr>
      <vt:lpstr>output_partnerpensioen_kapitaal</vt:lpstr>
      <vt:lpstr>output_pensioen_grondslag</vt:lpstr>
      <vt:lpstr>output_pensioengevend_jaarsalaris</vt:lpstr>
      <vt:lpstr>output_premie_pj_np</vt:lpstr>
      <vt:lpstr>output_premie_pj_wzp</vt:lpstr>
      <vt:lpstr>output_premie_wg</vt:lpstr>
      <vt:lpstr>output_premie_wg_np</vt:lpstr>
      <vt:lpstr>output_premie_wg_wzp</vt:lpstr>
      <vt:lpstr>output_premie_wn</vt:lpstr>
      <vt:lpstr>output_premie_wn_np</vt:lpstr>
      <vt:lpstr>output_premie_wn_wzp</vt:lpstr>
      <vt:lpstr>output_verzekerd_bedrag_per_jaar</vt:lpstr>
      <vt:lpstr>output_wezenpensioen</vt:lpstr>
      <vt:lpstr>pooltar</vt:lpstr>
      <vt:lpstr>prudent</vt:lpstr>
      <vt:lpstr>PVI</vt:lpstr>
      <vt:lpstr>staffel</vt:lpstr>
      <vt:lpstr>VPOR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Gerrit-Jan</dc:creator>
  <cp:keywords/>
  <dc:description/>
  <cp:lastModifiedBy>GJ van Dalen</cp:lastModifiedBy>
  <dcterms:created xsi:type="dcterms:W3CDTF">2012-02-21T14:55:27Z</dcterms:created>
  <dcterms:modified xsi:type="dcterms:W3CDTF">2019-01-28T14:23:28Z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