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65" tabRatio="870" activeTab="0"/>
  </bookViews>
  <sheets>
    <sheet name="OUTPUT" sheetId="1" r:id="rId1"/>
    <sheet name="INPUT" sheetId="2" r:id="rId2"/>
    <sheet name="TariefInvoer" sheetId="3" state="hidden" r:id="rId3"/>
    <sheet name="Bereken OP|PP|WzP" sheetId="4" r:id="rId4"/>
    <sheet name="OP oud" sheetId="5" r:id="rId5"/>
    <sheet name="Berekenen premies" sheetId="6" r:id="rId6"/>
    <sheet name="Tarief NN FIP" sheetId="7" r:id="rId7"/>
  </sheets>
  <externalReferences>
    <externalReference r:id="rId10"/>
    <externalReference r:id="rId11"/>
  </externalReferences>
  <definedNames>
    <definedName name="input_aantal_kinderen">'INPUT'!$CQ$2</definedName>
    <definedName name="input_achternaam">'INPUT'!$Q$2</definedName>
    <definedName name="input_bedrijfsnaam">'INPUT'!$A$2</definedName>
    <definedName name="input_BSN">'INPUT'!$AB$2</definedName>
    <definedName name="input_burgerlijkestaat">'INPUT'!$BS$2</definedName>
    <definedName name="input_datum_in_dienst">'INPUT'!$AJ$2</definedName>
    <definedName name="input_deelname_nabestaandenpensioen">'INPUT'!$CG$2</definedName>
    <definedName name="input_deelname_pensioenregeling_1">'INPUT'!$CD$2</definedName>
    <definedName name="input_deelname_pensioenregeling_2">'INPUT'!$CE$2</definedName>
    <definedName name="input_deelname_pensioenregeling_3">'INPUT'!$CF$2</definedName>
    <definedName name="input_franchise">'INPUT'!$CW$2</definedName>
    <definedName name="input_franchise_np">'INPUT'!$CX$2</definedName>
    <definedName name="input_fulltime_salaris">'INPUT'!$AN$2</definedName>
    <definedName name="input_geboortedatum">'INPUT'!$S$2</definedName>
    <definedName name="input_geboortedatum_partner">'INPUT'!$CB$2</definedName>
    <definedName name="input_geslacht">'INPUT'!$R$2</definedName>
    <definedName name="input_geslacht_partner">'INPUT'!$CA$2</definedName>
    <definedName name="input_parttime_percentage">'INPUT'!$AM$2</definedName>
    <definedName name="input_pensioengevend_salaris">'INPUT'!$CY$2</definedName>
    <definedName name="input_pensioengrondslag">'INPUT'!$CZ$2</definedName>
    <definedName name="input_pensioenleeftijd">'INPUT'!$DB$2</definedName>
    <definedName name="input_periodesalaris">'INPUT'!$AL$2</definedName>
    <definedName name="input_waardeoverdracht">'[2]INPUT'!$O$2</definedName>
    <definedName name="input_wijzigingsdatum">'INPUT'!$CV$2</definedName>
    <definedName name="lijstToegestaneTarieven">'[1]Parameters'!$B$14:$B$30</definedName>
    <definedName name="lstFin">'[1]Hoofdblad'!$M$1:$M$5</definedName>
    <definedName name="output_franchise">'OUTPUT'!$B$2</definedName>
    <definedName name="output_franchise_np">'OUTPUT'!$C$2</definedName>
    <definedName name="output_franchise_op">'OUTPUT'!$B$2</definedName>
    <definedName name="output_gewogen_parttime_perc">'OUTPUT'!$S$2</definedName>
    <definedName name="output_partnerpensioen">'OUTPUT'!$H$2</definedName>
    <definedName name="output_partnerpensioen_kapitaal">'OUTPUT'!$G$2</definedName>
    <definedName name="output_pensioen">'OUTPUT'!$F$2</definedName>
    <definedName name="output_pensioen_grondslag">'OUTPUT'!$D$2</definedName>
    <definedName name="output_pensioen_kapitaal">'OUTPUT'!$E$2</definedName>
    <definedName name="output_pensioengevend_jaarsalaris">'OUTPUT'!$A$2</definedName>
    <definedName name="output_premie_pj_np">'OUTPUT'!$M$2</definedName>
    <definedName name="output_premie_pj_op">'OUTPUT'!$J$2</definedName>
    <definedName name="output_premie_pj_wzp">'OUTPUT'!$P$2</definedName>
    <definedName name="output_premie_wg_np">'OUTPUT'!$N$2</definedName>
    <definedName name="output_premie_wg_op">'OUTPUT'!$K$2</definedName>
    <definedName name="output_premie_wg_wzp">'OUTPUT'!$Q$2</definedName>
    <definedName name="output_premie_wn_np">'OUTPUT'!$O$2</definedName>
    <definedName name="output_premie_wn_op">'OUTPUT'!$L$2</definedName>
    <definedName name="output_premie_wn_wzp">'OUTPUT'!$R$2</definedName>
    <definedName name="output_wezenpensioen">'OUTPUT'!$I$2</definedName>
    <definedName name="vtProduct">'[1]Hoofdblad'!$C$5</definedName>
    <definedName name="wbANWmethode">'TariefInvoer'!$C$27</definedName>
    <definedName name="wbANWSoort">'TariefInvoer'!$C$26</definedName>
    <definedName name="wbANWStijg">'TariefInvoer'!$C$28</definedName>
    <definedName name="wbANWTar">'TariefInvoer'!$F$30</definedName>
    <definedName name="wbANWTar_input">'TariefInvoer'!$C$29</definedName>
    <definedName name="wbAOPf_dekking">'TariefInvoer'!$F$24</definedName>
    <definedName name="wbAOPf_doelgroep">'TariefInvoer'!$F$23</definedName>
    <definedName name="wbAOPSoort">'TariefInvoer'!$C$25</definedName>
    <definedName name="wbAppNaam">'TariefInvoer'!$B$5</definedName>
    <definedName name="wbAutoInc">'TariefInvoer'!$F$21</definedName>
    <definedName name="wbEDU_ANW">'TariefInvoer'!$F$31</definedName>
    <definedName name="wbEDU_AOP">'TariefInvoer'!$F$32</definedName>
    <definedName name="wbFin">'TariefInvoer'!$C$8</definedName>
    <definedName name="wbIngangsdatum">'TariefInvoer'!$C$15</definedName>
    <definedName name="wbKAPsoort">'TariefInvoer'!$C$31</definedName>
    <definedName name="wbKlantnaam">'TariefInvoer'!$C$9</definedName>
    <definedName name="wbKlantnummer">'TariefInvoer'!$C$10</definedName>
    <definedName name="wbMutDat">'TariefInvoer'!$C$13</definedName>
    <definedName name="wbOpslag_Adm">'TariefInvoer'!$F$14</definedName>
    <definedName name="wbOpslag_afw">'TariefInvoer'!$F$26</definedName>
    <definedName name="wbOpslag_Exc">'TariefInvoer'!$F$12</definedName>
    <definedName name="wbOpslag_facultatief">'TariefInvoer'!$F$27</definedName>
    <definedName name="wbOpslag_IFRS">'TariefInvoer'!$F$18</definedName>
    <definedName name="wbOpslag_IFRSUWO">'TariefInvoer'!$F$19</definedName>
    <definedName name="wbOpslag_Incasso">'TariefInvoer'!$G$21</definedName>
    <definedName name="wbOpslag_KRG">'TariefInvoer'!$F$17</definedName>
    <definedName name="wbOpslag_KVB">'TariefInvoer'!$F$16</definedName>
    <definedName name="wbOpslag_Termijn">'TariefInvoer'!$F$13</definedName>
    <definedName name="wbOpslag_Terr">'TariefInvoer'!$F$15</definedName>
    <definedName name="wbOpslag_Uitk">'TariefInvoer'!$F$11</definedName>
    <definedName name="wbOpslag_Uitloop">'TariefInvoer'!$F$22</definedName>
    <definedName name="wbOpslag_WMK">'TariefInvoer'!$F$28</definedName>
    <definedName name="wbOpslag_WOV">'TariefInvoer'!$F$20</definedName>
    <definedName name="wbOpslag_WW">'TariefInvoer'!$F$29</definedName>
    <definedName name="wbOPSoort">'TariefInvoer'!$C$18</definedName>
    <definedName name="wbPensLft">'TariefInvoer'!$C$14</definedName>
    <definedName name="wbPPSoort">'TariefInvoer'!$C$20</definedName>
    <definedName name="wbPPStijg">'TariefInvoer'!$C$21</definedName>
    <definedName name="wbPPStijgDuur">'TariefInvoer'!$C$22</definedName>
    <definedName name="wbPremietermijn">'TariefInvoer'!$C$16</definedName>
    <definedName name="wbProduct">'TariefInvoer'!$C$7</definedName>
    <definedName name="wbRR">'TariefInvoer'!$C$12</definedName>
    <definedName name="wbTar">'TariefInvoer'!$C$11</definedName>
    <definedName name="wbWZP_Elft">'TariefInvoer'!$C$23</definedName>
  </definedNames>
  <calcPr fullCalcOnLoad="1"/>
</workbook>
</file>

<file path=xl/comments3.xml><?xml version="1.0" encoding="utf-8"?>
<comments xmlns="http://schemas.openxmlformats.org/spreadsheetml/2006/main">
  <authors>
    <author>AVWPOOL1-AVW</author>
  </authors>
  <commentList>
    <comment ref="E11" authorId="0">
      <text>
        <r>
          <rPr>
            <sz val="9"/>
            <rFont val="Tahoma"/>
            <family val="2"/>
          </rPr>
          <t>Deze opslag benadert de aanpassing van continue uitkeringswijze naar de uitkeringswijze zoals specifiek in het contract is overeengekomen (bv maandelijke uitkering tot en met 1e van de maand na overlijden verzekerde)
Deze opslag kan per toezegging (voor OP anders dan voor NP) en status (voor niet ingegaan NP anders dan voor ingegaan NP) verschillen</t>
        </r>
      </text>
    </comment>
    <comment ref="E12" authorId="0">
      <text>
        <r>
          <rPr>
            <sz val="9"/>
            <rFont val="Tahoma"/>
            <family val="2"/>
          </rPr>
          <t>Opslag waarmee de feitelijke uitbetaling van de pensioenen wordt gefinancierd</t>
        </r>
      </text>
    </comment>
    <comment ref="E14" authorId="0">
      <text>
        <r>
          <rPr>
            <sz val="9"/>
            <rFont val="Tahoma"/>
            <family val="2"/>
          </rPr>
          <t>Deze opslag is bestemd om de door NN te maken administratiekosten te kunnen financieren en wordt in verslaglegging toegevoegd aan de rekening ‘beschikbaar voor kosten’. Voor de volledigheid: de mogelijk te verlenen omvangskorting en andere commerciële kortingen worden aan de ‘beschikbare kosten’ onttrokken</t>
        </r>
      </text>
    </comment>
    <comment ref="E15" authorId="0">
      <text>
        <r>
          <rPr>
            <sz val="9"/>
            <rFont val="Tahoma"/>
            <family val="2"/>
          </rPr>
          <t>Opslag waarmee de herverzekeringspremie ten behoeve van de Nederlandse Herverzekeringsmaatschappij voor Terrorismeschaden (NHT) betaald kan worden. Deze baten worden door de relatie betaald en doorgegeven naar de NHT</t>
        </r>
      </text>
    </comment>
    <comment ref="E16" authorId="0">
      <text>
        <r>
          <rPr>
            <sz val="9"/>
            <rFont val="Tahoma"/>
            <family val="2"/>
          </rPr>
          <t>Deze Kosten Vermogens Beslag is een vergoeding voor NN omdat door regels van DNB wij aan het stukje verzekeringsrisico dat NN loopt een deel van het eigen vermogen als solvabiliteit moeten koppelen dat slechts onder stringente voorwaarden belegd mag worden. Hierdoor loopt NN (lees: aandeelhouders) beleggingsopbrengst mis</t>
        </r>
      </text>
    </comment>
    <comment ref="E17" authorId="0">
      <text>
        <r>
          <rPr>
            <sz val="9"/>
            <rFont val="Tahoma"/>
            <family val="2"/>
          </rPr>
          <t>Deze Kosten Rente Garantie is een risicopremie die ervoor dient om het risico van NN af te dekken indien de marktrente onder de gegarandeerde rekenrente duikt</t>
        </r>
      </text>
    </comment>
    <comment ref="E18" authorId="0">
      <text>
        <r>
          <rPr>
            <sz val="9"/>
            <rFont val="Tahoma"/>
            <family val="2"/>
          </rPr>
          <t xml:space="preserve">Dit betreft een opslag waarmee het risico wordt afgedekt dat het overrentesaldo niet toereikend is om de kosten vermogensbeslag, de kosten rentegarantie en de beheerskosten te financieren. Dit is één van de voorwaarden waar een contract aan moet voldoen om de kwalificatie IFRS-proof te krijgen.
Deze opslag wordt ook toegevoegd aan de rekening ‘beschikbaar voor kosten’
</t>
        </r>
      </text>
    </comment>
    <comment ref="E19" authorId="0">
      <text>
        <r>
          <rPr>
            <sz val="9"/>
            <rFont val="Tahoma"/>
            <family val="2"/>
          </rPr>
          <t xml:space="preserve">Dit betreft een opslag waarmee het risico wordt afgedekt dat bij uitgaande waardeoverdrachten aanvullende betalingen van of naar de voormalige werkgever moeten plaats vinden. Dit is één van de voorwaarden waar een contract aan moet voldoen om de kwalificatie IFRS-proof te krijgen.
Deze opslag wordt ook toegevoegd aan de rekening ‘beschikbaar voor kosten’.
N.B. Als er sprake is van een WOV-dekking dan wordt deze opslag op 0 gezet.
</t>
        </r>
      </text>
    </comment>
    <comment ref="E20" authorId="0">
      <text>
        <r>
          <rPr>
            <sz val="9"/>
            <rFont val="Tahoma"/>
            <family val="2"/>
          </rPr>
          <t>Dit betreft een opslag waarmee het risico wordt afgedekt dat een werkgever bij inkomende of uitgaande waardeoverdracht een aanvullende koopsom moet betalen. Relatie kan er voor kiezen dit risico al of niet af te dekken</t>
        </r>
      </text>
    </comment>
    <comment ref="E21" authorId="0">
      <text>
        <r>
          <rPr>
            <sz val="9"/>
            <rFont val="Tahoma"/>
            <family val="2"/>
          </rPr>
          <t>Deze opslag is bedoeld voor klanten die niet hebben gekozen voor automatische incasso. Als de klant wel voor automatische incasso heeft gekozen, bedraagt deze opslag altijd nul</t>
        </r>
      </text>
    </comment>
    <comment ref="E22" authorId="0">
      <text>
        <r>
          <rPr>
            <sz val="9"/>
            <rFont val="Tahoma"/>
            <family val="2"/>
          </rPr>
          <t>Met deze opslag wordt het overlijdensrisico gedekt in geval van financiering tegen risicokoopsom voor TNP- en ANW-dekkingen nadat de verzekerde de eindleeftijd heeft bereikt, maar de verzorgde nog niet</t>
        </r>
      </text>
    </comment>
    <comment ref="E23" authorId="0">
      <text>
        <r>
          <rPr>
            <sz val="9"/>
            <rFont val="Tahoma"/>
            <family val="2"/>
          </rPr>
          <t xml:space="preserve">Deze opslag wordt gevraagd ter compensatie van het feit dat volgens de Wet Medische Keuring geen medische waarborgen mogen worden gevraagd voor deelnemers in een collectieve regeling. Daardoor is het mogelijk dat, met name bij kleine contracten, anti-selectie optreedt. De WMK_opslag wordt alleen gevraagd als een contract niet het vereiste minimum aantal deelnemers heeft en alleen voor toezeggingen met een aanvullend karakter, zoals AOP- en ANW-dekkingen. </t>
        </r>
      </text>
    </comment>
    <comment ref="E24" authorId="0">
      <text>
        <r>
          <rPr>
            <sz val="9"/>
            <rFont val="Tahoma"/>
            <family val="2"/>
          </rPr>
          <t xml:space="preserve">Deze opslag wordt gevraagd ter compensatie van het feit dat volgens de Wet Medische Keuring geen medische waarborgen mogen worden gevraagd voor deelnemers in een collectieve regeling. Daardoor is het mogelijk dat, met name bij kleine contracten, anti-selectie optreedt. De WMK_opslag wordt alleen gevraagd als een contract niet het vereiste minimum aantal deelnemers heeft en alleen voor toezeggingen met een aanvullend karakter, zoals AOP- en ANW-dekkingen. </t>
        </r>
      </text>
    </comment>
    <comment ref="B31" authorId="0">
      <text>
        <r>
          <rPr>
            <b/>
            <sz val="9"/>
            <rFont val="Tahoma"/>
            <family val="2"/>
          </rPr>
          <t>Kapitaal:</t>
        </r>
        <r>
          <rPr>
            <sz val="9"/>
            <rFont val="Tahoma"/>
            <family val="2"/>
          </rPr>
          <t xml:space="preserve">
Financiering altijd basis netto</t>
        </r>
      </text>
    </comment>
  </commentList>
</comments>
</file>

<file path=xl/sharedStrings.xml><?xml version="1.0" encoding="utf-8"?>
<sst xmlns="http://schemas.openxmlformats.org/spreadsheetml/2006/main" count="579" uniqueCount="487">
  <si>
    <t>NP_Wezenpensioen</t>
  </si>
  <si>
    <t>Deelname_WIA_Bodem</t>
  </si>
  <si>
    <t>WGA_hiaat_aanvullingspercentage</t>
  </si>
  <si>
    <t>Klantnaam</t>
  </si>
  <si>
    <t>OP_1_Contractnummer</t>
  </si>
  <si>
    <t>NP_Pensioenleeftijd</t>
  </si>
  <si>
    <t>OP_3_Wezenpensioen</t>
  </si>
  <si>
    <t>MAANDELIJKS</t>
  </si>
  <si>
    <t>Burgerservicenummer_partner</t>
  </si>
  <si>
    <t>WGA_hiaat_aanvulling_ingangsdatum</t>
  </si>
  <si>
    <t>Ongevallen_rubriek_B</t>
  </si>
  <si>
    <t>Jaren</t>
  </si>
  <si>
    <t>Wettelijke_verlofuren_aangevraagd</t>
  </si>
  <si>
    <t>Bovenwettelijke_verlofuren_opgenomen</t>
  </si>
  <si>
    <t>Werkuren_per_week</t>
  </si>
  <si>
    <t>Bedrijf_post_adres</t>
  </si>
  <si>
    <t>Deelname_Ziektekosten</t>
  </si>
  <si>
    <t>OP_2_Wezenpensioen</t>
  </si>
  <si>
    <t>NP Premie werkgever</t>
  </si>
  <si>
    <t>Voornaam</t>
  </si>
  <si>
    <t>OP</t>
  </si>
  <si>
    <t>OP premie werknemer</t>
  </si>
  <si>
    <t>Deelname_Pensioenregeling_2</t>
  </si>
  <si>
    <t>OP_1_Verzekeraar</t>
  </si>
  <si>
    <t>l170904</t>
  </si>
  <si>
    <t>COLL2013</t>
  </si>
  <si>
    <t>Automatisch Incasso?</t>
  </si>
  <si>
    <t>Bedrijf_postcode</t>
  </si>
  <si>
    <t>Bedrijf_adres</t>
  </si>
  <si>
    <t>OP_3_Pensioengevend_Salaris</t>
  </si>
  <si>
    <t>Wijzigingsdatum</t>
  </si>
  <si>
    <t>OP_1_Ingangsdatum</t>
  </si>
  <si>
    <t>WGA_excedent_premie_WN</t>
  </si>
  <si>
    <t>ANW_jaarpremie</t>
  </si>
  <si>
    <t>Opslag WMK</t>
  </si>
  <si>
    <t>OP_1_Polisnummer</t>
  </si>
  <si>
    <t>Ongevallen_premie_WN</t>
  </si>
  <si>
    <t>Ongevallen_verzekeraar</t>
  </si>
  <si>
    <t>Naam</t>
  </si>
  <si>
    <t>Achternaam</t>
  </si>
  <si>
    <t>Einddatum uitkering ANW</t>
  </si>
  <si>
    <t>WGA_hiaat_stijgende_uitkering</t>
  </si>
  <si>
    <t/>
  </si>
  <si>
    <t>Bijsparen_polisnummer</t>
  </si>
  <si>
    <t>Bijsparen_premie_WN</t>
  </si>
  <si>
    <t>Voorletters_partner</t>
  </si>
  <si>
    <t>WGA_hiaat_contractnummer_aanvulling</t>
  </si>
  <si>
    <t>KAPITAAL op 1 Leven</t>
  </si>
  <si>
    <t>ANW_kapitaal</t>
  </si>
  <si>
    <t>JA</t>
  </si>
  <si>
    <t>aantal jaren tussen peildatum en PD</t>
  </si>
  <si>
    <t>WGA_hiaat_Wijzigingsdatum</t>
  </si>
  <si>
    <t>Werknemertype</t>
  </si>
  <si>
    <t>partnerpensioen kapitaal</t>
  </si>
  <si>
    <t>Start regeling:</t>
  </si>
  <si>
    <t>OP_1_OP_premie_WG</t>
  </si>
  <si>
    <t>Achternaam_partner</t>
  </si>
  <si>
    <t>OP_3_Franchise</t>
  </si>
  <si>
    <t>Tarief t.b.v.</t>
  </si>
  <si>
    <t>WGA_excedent_premie_WG</t>
  </si>
  <si>
    <t>NP_Polisnummer</t>
  </si>
  <si>
    <t>Duur Stijging</t>
  </si>
  <si>
    <t>Premie vrouw</t>
  </si>
  <si>
    <t>28-03-2014, 15:12:03</t>
  </si>
  <si>
    <t>NP_jaarpremie</t>
  </si>
  <si>
    <t>Proeftijd</t>
  </si>
  <si>
    <t>Ongevallen_polisnummer</t>
  </si>
  <si>
    <t>Datum_uit_dienst</t>
  </si>
  <si>
    <t>Datum</t>
  </si>
  <si>
    <t>Berekening premie PP</t>
  </si>
  <si>
    <t>Bijsparen_bedrag_per_jaar</t>
  </si>
  <si>
    <t>Bijsparen_verzekeraar</t>
  </si>
  <si>
    <t>IFRS_kosten</t>
  </si>
  <si>
    <t>OP_2_NP_pensioen</t>
  </si>
  <si>
    <t>WGA_hiaat_polisnummer</t>
  </si>
  <si>
    <t>Wezenpensioen</t>
  </si>
  <si>
    <t>Deelname_ANW_Hiaat</t>
  </si>
  <si>
    <t xml:space="preserve">1e vd mnd  waarin 67 of indien eerder AOW-lft partner </t>
  </si>
  <si>
    <t>Tussenvoegsel_partner</t>
  </si>
  <si>
    <t>Bedrijf_email</t>
  </si>
  <si>
    <t>Deelname_Spaarloon</t>
  </si>
  <si>
    <t>ANW_wijzigingsdatum</t>
  </si>
  <si>
    <t>OP_2_Contractnummer</t>
  </si>
  <si>
    <t>Bedrijf_faxnummer</t>
  </si>
  <si>
    <t>OP Jaarpremie</t>
  </si>
  <si>
    <t>Toegestane tarieven</t>
  </si>
  <si>
    <t>Bijsparen_premie_WG</t>
  </si>
  <si>
    <t>Bedrijf_plaats</t>
  </si>
  <si>
    <t>OP_3_OP_premie_WG</t>
  </si>
  <si>
    <t>Dossier:</t>
  </si>
  <si>
    <t>OP_3_OP_premie_WN</t>
  </si>
  <si>
    <t>Burgerlijkestaat</t>
  </si>
  <si>
    <t>(verhoging pensioenleeftijd naar 67 jaar)</t>
  </si>
  <si>
    <t>NP_Verzekeraar</t>
  </si>
  <si>
    <t>Premietermijn</t>
  </si>
  <si>
    <t>OP_1_OP_kapitaal</t>
  </si>
  <si>
    <t>NVT</t>
  </si>
  <si>
    <t>OP_2_Polisnummer</t>
  </si>
  <si>
    <t>Leeftijd</t>
  </si>
  <si>
    <t>Relatie_startdatum</t>
  </si>
  <si>
    <t>OP_2_OP_pensioen</t>
  </si>
  <si>
    <t>Nakijker</t>
  </si>
  <si>
    <t>Deelname_Levensloopregeling</t>
  </si>
  <si>
    <t>Stijging</t>
  </si>
  <si>
    <t>NP_WZP_jaarpremie</t>
  </si>
  <si>
    <t>NP_Franchise</t>
  </si>
  <si>
    <t>OP_3_Wijzigingsdatum</t>
  </si>
  <si>
    <t>Huisnummer</t>
  </si>
  <si>
    <t>Ongevallen_premie_WG</t>
  </si>
  <si>
    <t>Einddatum uitkering AOP</t>
  </si>
  <si>
    <t>Datum_in_dienst</t>
  </si>
  <si>
    <t>OP_1_OP_premie_WN</t>
  </si>
  <si>
    <t>Contracttype</t>
  </si>
  <si>
    <t>Deelname_WGA_Hiaat</t>
  </si>
  <si>
    <t>GEBASEERD OP AOW</t>
  </si>
  <si>
    <t>COLL2011</t>
  </si>
  <si>
    <t>OP_3_NP_premie_WG</t>
  </si>
  <si>
    <t>WGA_excedent_eindleeftijd</t>
  </si>
  <si>
    <t>OP_3_Pensioenleeftijd</t>
  </si>
  <si>
    <t>OP_3_NP_premie_WN</t>
  </si>
  <si>
    <t>Bijsparen_wijzigingsdatum</t>
  </si>
  <si>
    <t>WGA_hiaat_aanvulling_jaarpremie</t>
  </si>
  <si>
    <t>OP_2_Franchise</t>
  </si>
  <si>
    <t>Ongevallen_contractnummer</t>
  </si>
  <si>
    <t>Tussenvoegsel</t>
  </si>
  <si>
    <t>Werkuren_dinsdag</t>
  </si>
  <si>
    <t>WGA_hiaat_premie_WN</t>
  </si>
  <si>
    <t>Postcode</t>
  </si>
  <si>
    <t>OP_1_Waardeoverdracht</t>
  </si>
  <si>
    <t>Excasso</t>
  </si>
  <si>
    <t>WGA_hiaat_dagloongrens</t>
  </si>
  <si>
    <t>Vestiging</t>
  </si>
  <si>
    <t>PD</t>
  </si>
  <si>
    <t>Aantal_kinderen</t>
  </si>
  <si>
    <t>partnerpensioen</t>
  </si>
  <si>
    <t>ANW premie methode</t>
  </si>
  <si>
    <t>Tarief</t>
  </si>
  <si>
    <t>WGA_hiaat_premie_WN_aanvulling</t>
  </si>
  <si>
    <t>WGA_excedent_jaarpremie</t>
  </si>
  <si>
    <t>OP_2_Pensioengevend_Salaris</t>
  </si>
  <si>
    <t>ANW_premie_WG</t>
  </si>
  <si>
    <t>Tarief ANW</t>
  </si>
  <si>
    <t>ANW_premie_WN</t>
  </si>
  <si>
    <t>Premie man</t>
  </si>
  <si>
    <t>KRG als % vd premie</t>
  </si>
  <si>
    <t>Pensioengevend_Salaris</t>
  </si>
  <si>
    <t>WzP premie werknemer</t>
  </si>
  <si>
    <t>Uitkeringswijze</t>
  </si>
  <si>
    <t>Rekente</t>
  </si>
  <si>
    <t>Ongevallen_rubriek_A</t>
  </si>
  <si>
    <t>Relatie_einddatum</t>
  </si>
  <si>
    <t>Voorletters</t>
  </si>
  <si>
    <t>Deelname_Nabestaandenpensioen</t>
  </si>
  <si>
    <t>Franchise</t>
  </si>
  <si>
    <t>GSM</t>
  </si>
  <si>
    <t>Peildatum</t>
  </si>
  <si>
    <t>Franchise NP</t>
  </si>
  <si>
    <t>Deelname_Pensioenregeling_1</t>
  </si>
  <si>
    <t>%</t>
  </si>
  <si>
    <t>NNCP Tariefaanvraag D01.35</t>
  </si>
  <si>
    <t>Telefoon_werk</t>
  </si>
  <si>
    <t>NP_WZP_premie_WN</t>
  </si>
  <si>
    <t>Bedrijf_post_plaats</t>
  </si>
  <si>
    <t>Plaats</t>
  </si>
  <si>
    <t>OP_2_OP_kapitaal</t>
  </si>
  <si>
    <t>OP_3_NP_pensioen</t>
  </si>
  <si>
    <t>WGA_hiaat_premie_WG</t>
  </si>
  <si>
    <t xml:space="preserve">1e vd maand </t>
  </si>
  <si>
    <t>ANW_contractnummer</t>
  </si>
  <si>
    <t>Gem._van_goederen</t>
  </si>
  <si>
    <t>Opbouw</t>
  </si>
  <si>
    <t>Adres</t>
  </si>
  <si>
    <t>Ingangsdatum</t>
  </si>
  <si>
    <t>Bijsparen_contractnr</t>
  </si>
  <si>
    <t>k561505</t>
  </si>
  <si>
    <t>Bedrijf_telefoonnummer</t>
  </si>
  <si>
    <t>Verlofjaar</t>
  </si>
  <si>
    <t>Opslag ANW-facultatief</t>
  </si>
  <si>
    <t>OP_2_Franchise_NP</t>
  </si>
  <si>
    <t>OP Premie werkgever</t>
  </si>
  <si>
    <t>RISICO(BEP)</t>
  </si>
  <si>
    <t>Bedrijf_website</t>
  </si>
  <si>
    <t>Comfortpensioen</t>
  </si>
  <si>
    <t>P lft</t>
  </si>
  <si>
    <t>+1: Tariefstaten</t>
  </si>
  <si>
    <t>Geboortedatum_partner</t>
  </si>
  <si>
    <t>AOP</t>
  </si>
  <si>
    <t>Personeelsnummer</t>
  </si>
  <si>
    <t>OP_1_NP_kapitaal</t>
  </si>
  <si>
    <t>WGA_hiaat_contractnummer</t>
  </si>
  <si>
    <t>Bedrijf_toevoeging</t>
  </si>
  <si>
    <t>Opslag WW</t>
  </si>
  <si>
    <t>Parttime_percentage</t>
  </si>
  <si>
    <t>Functie</t>
  </si>
  <si>
    <t>OP_1_Wezenpensioen</t>
  </si>
  <si>
    <t>OP_1_NP_premie_WG</t>
  </si>
  <si>
    <t>Fax_werk</t>
  </si>
  <si>
    <t>OP_1_NP_premie_WN</t>
  </si>
  <si>
    <t>Werkuren_donderdag</t>
  </si>
  <si>
    <t>Bedrijfsnaam</t>
  </si>
  <si>
    <t>WGA_excedent_polisnummer</t>
  </si>
  <si>
    <t>OP_3_OP_pensioen</t>
  </si>
  <si>
    <t>OP_3_Verzekeraar</t>
  </si>
  <si>
    <t>WzP Jaarpremie</t>
  </si>
  <si>
    <t>WGA_hiaat_eindleeftijd</t>
  </si>
  <si>
    <t>Berekening premie</t>
  </si>
  <si>
    <t>Deelname_WGA_Excedent</t>
  </si>
  <si>
    <t>WGA_hiaat_aanvulling_aanvullingsperc</t>
  </si>
  <si>
    <t>ANW_ingangsdatum</t>
  </si>
  <si>
    <t>WGA_excedent_contractnummer</t>
  </si>
  <si>
    <t>Opslagen</t>
  </si>
  <si>
    <t>OP_3_OP_kapitaal</t>
  </si>
  <si>
    <t>Pensioengrondslag</t>
  </si>
  <si>
    <t>NP_Pensioen</t>
  </si>
  <si>
    <t>OP_2_OP_Bruto_Rendement</t>
  </si>
  <si>
    <t>NP_WZP_premie_WG</t>
  </si>
  <si>
    <t>OP_3_Pensioengrondslag</t>
  </si>
  <si>
    <t>WIA_percentage</t>
  </si>
  <si>
    <t>Wettelijke_verlofuren_opgenomen</t>
  </si>
  <si>
    <t>Werkuren_zaterdag</t>
  </si>
  <si>
    <t>WGA_hiaat_aanvulling_dagloongrens</t>
  </si>
  <si>
    <t>Bonus</t>
  </si>
  <si>
    <t>Uitloop TPP</t>
  </si>
  <si>
    <t>WGA_hiaat_aanvulling_aanvulling</t>
  </si>
  <si>
    <t>Maker</t>
  </si>
  <si>
    <t>KVB als % vd premie</t>
  </si>
  <si>
    <t>Eindleeftijd WZP</t>
  </si>
  <si>
    <t>Doc.type:</t>
  </si>
  <si>
    <t>Termijnopsl.</t>
  </si>
  <si>
    <t>WGA_hiaat_aanvulling_contractnummer</t>
  </si>
  <si>
    <t>Geslacht</t>
  </si>
  <si>
    <t>Geslacht_partner</t>
  </si>
  <si>
    <t>AOP-Factor-dekkingsklasse</t>
  </si>
  <si>
    <t>1e VAN DE MAAND</t>
  </si>
  <si>
    <t>Land</t>
  </si>
  <si>
    <t>Fulltime_salaris</t>
  </si>
  <si>
    <t>PG</t>
  </si>
  <si>
    <t>Ouderdomspensioen</t>
  </si>
  <si>
    <t>OP_2_OP_jaarpremie</t>
  </si>
  <si>
    <t>Toevoeging</t>
  </si>
  <si>
    <t>WGA_hiaat_verzekeraar_aanvulling</t>
  </si>
  <si>
    <t>Aanspraken verleden</t>
  </si>
  <si>
    <t>NP_Contractnummer</t>
  </si>
  <si>
    <t>165473 incl ANW</t>
  </si>
  <si>
    <t>NP_premie_WN</t>
  </si>
  <si>
    <t>NP premie werknemer</t>
  </si>
  <si>
    <t>Pensioenleeftijd</t>
  </si>
  <si>
    <t>Nationaliteit</t>
  </si>
  <si>
    <t>WGA_hiaat_jaarpremie</t>
  </si>
  <si>
    <t>Voornaam_partner</t>
  </si>
  <si>
    <t>Bedrijf_post_postcode</t>
  </si>
  <si>
    <t>Bovenwettelijke_verlofuren_beschikbaar</t>
  </si>
  <si>
    <t>OP_1_NP_pensioen</t>
  </si>
  <si>
    <t>NP_Ingangsdatum</t>
  </si>
  <si>
    <t>Rekendatum</t>
  </si>
  <si>
    <t>Tariefstaten</t>
  </si>
  <si>
    <t>Werkgever</t>
  </si>
  <si>
    <t>Bonus_voor_pensioen</t>
  </si>
  <si>
    <t>28-03-2014, 15:14:25</t>
  </si>
  <si>
    <t>Bedrijf_huisnummer</t>
  </si>
  <si>
    <t>Email_prive</t>
  </si>
  <si>
    <t>Deelname_Pensioenregeling_3</t>
  </si>
  <si>
    <t>COLL2003</t>
  </si>
  <si>
    <t>VRIJWILLIG</t>
  </si>
  <si>
    <t>Bovenwettelijke_verlofuren_aangevraagd</t>
  </si>
  <si>
    <t>WGA_excedent_verzekeraar</t>
  </si>
  <si>
    <t>IFRS_UWO</t>
  </si>
  <si>
    <t>NP Jaarpremie</t>
  </si>
  <si>
    <t>NP_Pensioengevend_Salaris</t>
  </si>
  <si>
    <t>WzP Premie werkgever</t>
  </si>
  <si>
    <t>Product</t>
  </si>
  <si>
    <t>Burgerservicenummer</t>
  </si>
  <si>
    <t>OP_2_NP_kapitaal</t>
  </si>
  <si>
    <t>Deelname_Ongevallen</t>
  </si>
  <si>
    <t>ANW_polisnummer</t>
  </si>
  <si>
    <t>WGA_hiaat_jaarpremie_aanvulling</t>
  </si>
  <si>
    <t>Bonus_jaar</t>
  </si>
  <si>
    <t>Geboortedatum werknemer</t>
  </si>
  <si>
    <t>OP_3_Contractnummer</t>
  </si>
  <si>
    <t>OP_2_NP_premie_WN</t>
  </si>
  <si>
    <t>Gewogen parttime %</t>
  </si>
  <si>
    <t>Ongevallen_ingangsdatum</t>
  </si>
  <si>
    <t>OP_2_Verzekeraar</t>
  </si>
  <si>
    <t>WGA_hiaat_aanvulling_premie_WN</t>
  </si>
  <si>
    <t>OP_3_Franchise_NP</t>
  </si>
  <si>
    <t>ANW</t>
  </si>
  <si>
    <t>OP_1_OP_pensioen</t>
  </si>
  <si>
    <t>ANW_verzekeraar</t>
  </si>
  <si>
    <t>OP_2_Wijzigingsdatum</t>
  </si>
  <si>
    <t>Opbouw per jaar</t>
  </si>
  <si>
    <t>NP_premie_WG</t>
  </si>
  <si>
    <t>WGA_hiaat_aanvulling_polisnummer</t>
  </si>
  <si>
    <t>Ongevallen_wijzigingsdatum</t>
  </si>
  <si>
    <t>WGA_hiaat_premie_WG_aanvulling</t>
  </si>
  <si>
    <t>Deelname_Bijsparenpensioen</t>
  </si>
  <si>
    <t>WOV</t>
  </si>
  <si>
    <t>Maanden</t>
  </si>
  <si>
    <t>OP_2_NP_jaarpremie</t>
  </si>
  <si>
    <t>OP_3_NP_jaarpremie</t>
  </si>
  <si>
    <t>afronden naar beneden</t>
  </si>
  <si>
    <t>CliniClowns met anw facultatief</t>
  </si>
  <si>
    <t>Werkuren_woensdag</t>
  </si>
  <si>
    <t>Terrorisme</t>
  </si>
  <si>
    <t>Wettelijke_verlofuren</t>
  </si>
  <si>
    <t>OP_2_OP_premie_WG</t>
  </si>
  <si>
    <t>Salaris</t>
  </si>
  <si>
    <t>OP_2_Ingangsdatum</t>
  </si>
  <si>
    <t>OP_2_Pensioengrondslag</t>
  </si>
  <si>
    <t>OP_2_OP_premie_WN</t>
  </si>
  <si>
    <t>NP_Waardeoverdracht</t>
  </si>
  <si>
    <t>OP_3_NP_kapitaal</t>
  </si>
  <si>
    <t>WGA_hiaat_aanvulling_premie_WG</t>
  </si>
  <si>
    <t>Bijsparen_kapitaal</t>
  </si>
  <si>
    <t>Wettelijke_verlofuren_beschikbaar</t>
  </si>
  <si>
    <t>OP_2_Waardeoverdracht</t>
  </si>
  <si>
    <t>ANW_hiaat</t>
  </si>
  <si>
    <t>Telefoon_prive</t>
  </si>
  <si>
    <t>Email_werk</t>
  </si>
  <si>
    <t>OP_1_OP_jaarpremie</t>
  </si>
  <si>
    <t>Bijsparen_indicatie</t>
  </si>
  <si>
    <t>Franchise_NP</t>
  </si>
  <si>
    <t>AOP-Factor-doelgroep</t>
  </si>
  <si>
    <t>WGA_excedent_wijzigingsdatum</t>
  </si>
  <si>
    <t>OP_3_Waardeoverdracht</t>
  </si>
  <si>
    <t>Administratie excl. Incasso opslag</t>
  </si>
  <si>
    <t>NP_Wijzigingsdatum</t>
  </si>
  <si>
    <t>Werkelijk_jaarloon</t>
  </si>
  <si>
    <t>Opbouw %</t>
  </si>
  <si>
    <t>Opslag afwijkend</t>
  </si>
  <si>
    <t>WGA_hiaat_doorbetaling_jaar_1</t>
  </si>
  <si>
    <t>OP_2_NP_premie_WG</t>
  </si>
  <si>
    <t>WGA_hiaat_doorbetaling_jaar_2</t>
  </si>
  <si>
    <t>Ongevallen_jaarpremie</t>
  </si>
  <si>
    <t>WGA_hiaat_aanvulling_wijzigingsdatum</t>
  </si>
  <si>
    <t>Geb.dat.</t>
  </si>
  <si>
    <t>Werkuren_zondag</t>
  </si>
  <si>
    <t>OP_3_OP_Bruto_Rendement</t>
  </si>
  <si>
    <t>Afdeling</t>
  </si>
  <si>
    <t>WGA_hiaat_aanvulling</t>
  </si>
  <si>
    <t>pensioen kapitaal</t>
  </si>
  <si>
    <t>WGA_excedent_ingangsdatum</t>
  </si>
  <si>
    <t>Bovenwettelijke_verlofuren</t>
  </si>
  <si>
    <t>Geboortedatum</t>
  </si>
  <si>
    <t>WGA_hiaat_verzekeraar</t>
  </si>
  <si>
    <t>Berekening premie OP</t>
  </si>
  <si>
    <t>Franchise OP</t>
  </si>
  <si>
    <t>Werkuren_vrijdag</t>
  </si>
  <si>
    <t>OP_1_OP_Bruto_Rendement</t>
  </si>
  <si>
    <t>OP_3_Polisnummer</t>
  </si>
  <si>
    <t>Offerte- of contractnummer</t>
  </si>
  <si>
    <t>NP_Pensioengrondslag</t>
  </si>
  <si>
    <t>OP_3_Ingangsdatum</t>
  </si>
  <si>
    <t>OP_3_OP_jaarpremie</t>
  </si>
  <si>
    <t>OP_2_Pensioenleeftijd</t>
  </si>
  <si>
    <t>COLL2009</t>
  </si>
  <si>
    <t>NEE</t>
  </si>
  <si>
    <t>WGA_hiaat_aanvulling_verzekeraar</t>
  </si>
  <si>
    <t>Bijsparen_ingangsdatum</t>
  </si>
  <si>
    <t>WGA_excedent_excedent</t>
  </si>
  <si>
    <t>PP/WZP</t>
  </si>
  <si>
    <t>NP_Kapitaal</t>
  </si>
  <si>
    <t>Periodesalaris</t>
  </si>
  <si>
    <t>Contract_startdatum</t>
  </si>
  <si>
    <t>Contract_einddatum</t>
  </si>
  <si>
    <t>18/27</t>
  </si>
  <si>
    <t>WGA_hiaat_hiaat</t>
  </si>
  <si>
    <t>OP_1_NP_jaarpremie</t>
  </si>
  <si>
    <t>WGA_hiaat_ingangsdatum</t>
  </si>
  <si>
    <t>Werkuren_maandag</t>
  </si>
  <si>
    <t>Rekeningnummer</t>
  </si>
  <si>
    <t xml:space="preserve">Basistarieven voor de pensioenregeling     </t>
  </si>
  <si>
    <t>Leeftijd (vandaag)</t>
  </si>
  <si>
    <t>opbouw verleden</t>
  </si>
  <si>
    <t>handmatig</t>
  </si>
  <si>
    <t>aangroei</t>
  </si>
  <si>
    <t>Naam werknemer</t>
  </si>
  <si>
    <t>TDH</t>
  </si>
  <si>
    <t>Berekeningsdatum</t>
  </si>
  <si>
    <t>kerncijfers</t>
  </si>
  <si>
    <t>franchise</t>
  </si>
  <si>
    <t>max sal.</t>
  </si>
  <si>
    <t>max loon EB</t>
  </si>
  <si>
    <t>stijging</t>
  </si>
  <si>
    <t>12,96x maand</t>
  </si>
  <si>
    <t>12,96 + max. 3x variabel</t>
  </si>
  <si>
    <t>Max. salaris</t>
  </si>
  <si>
    <t xml:space="preserve"> </t>
  </si>
  <si>
    <t>Max. premiegrondslag (EB)</t>
  </si>
  <si>
    <t>Bijdrage van de PG</t>
  </si>
  <si>
    <t>FT maand</t>
  </si>
  <si>
    <t>PT%</t>
  </si>
  <si>
    <t>PT maand</t>
  </si>
  <si>
    <t>werkelijke</t>
  </si>
  <si>
    <t>max. gratificatie</t>
  </si>
  <si>
    <t>Pensioen-</t>
  </si>
  <si>
    <t>Pensioen</t>
  </si>
  <si>
    <t>sal. premie</t>
  </si>
  <si>
    <t>premie</t>
  </si>
  <si>
    <t>eigen bijdrage</t>
  </si>
  <si>
    <t>Bijdrage</t>
  </si>
  <si>
    <t>aangroei '16</t>
  </si>
  <si>
    <t>nr.</t>
  </si>
  <si>
    <t>salaris</t>
  </si>
  <si>
    <t>gratificatie (PT)</t>
  </si>
  <si>
    <t>gevend sal PT</t>
  </si>
  <si>
    <t>gevend sal FT</t>
  </si>
  <si>
    <t>grondslag FT</t>
  </si>
  <si>
    <t>grondslag PT</t>
  </si>
  <si>
    <t>per jaar</t>
  </si>
  <si>
    <t>per mnd</t>
  </si>
  <si>
    <t>laatste mutatiedatum</t>
  </si>
  <si>
    <t>opbouw</t>
  </si>
  <si>
    <t>automatisch</t>
  </si>
  <si>
    <t>BSN</t>
  </si>
  <si>
    <t>135638136</t>
  </si>
  <si>
    <t>70% van Opbouw OP sinds 1-1-2015</t>
  </si>
  <si>
    <t>PLUS</t>
  </si>
  <si>
    <t>Totaal OP</t>
  </si>
  <si>
    <t>opgebouwd OP sinds 1-1-2014</t>
  </si>
  <si>
    <t>opgebouwd OP in 2014</t>
  </si>
  <si>
    <t>70% opbouw sinds 1-1-15</t>
  </si>
  <si>
    <t>dienstjaren tot 1-1-2015</t>
  </si>
  <si>
    <t>PG '14</t>
  </si>
  <si>
    <t>1,51% x DJ tot 1-1-15 x PG '14</t>
  </si>
  <si>
    <t>totaal NP</t>
  </si>
  <si>
    <t>NP-regeling, datum in dienst na 1-1-2015</t>
  </si>
  <si>
    <t>Totaal NP</t>
  </si>
  <si>
    <t>Totaal WzP</t>
  </si>
  <si>
    <t>Burgerlijke staat</t>
  </si>
  <si>
    <t>zie linkerzijde</t>
  </si>
  <si>
    <t>NP van toepassing</t>
  </si>
  <si>
    <t>70% van Opbouw OP sinds 1-1-2015 PLUS 1,51% x dienstjaren tot 1-1-2015 X PG ´14</t>
  </si>
  <si>
    <t>NP regeling als datum in dienst voor 1-1-2015:</t>
  </si>
  <si>
    <t>behorend bij 82044 TDH vanuit addendum 1-1-14</t>
  </si>
  <si>
    <t>a</t>
  </si>
  <si>
    <t>b</t>
  </si>
  <si>
    <t>c</t>
  </si>
  <si>
    <t>d</t>
  </si>
  <si>
    <t>e</t>
  </si>
  <si>
    <t>f</t>
  </si>
  <si>
    <t>g</t>
  </si>
  <si>
    <t>h</t>
  </si>
  <si>
    <t>i</t>
  </si>
  <si>
    <t>j</t>
  </si>
  <si>
    <t>aantal jaren waarna het OP ingaat</t>
  </si>
  <si>
    <t>leeftijd verzekerde op premie vervaldag</t>
  </si>
  <si>
    <t>premie per € 1.000 OP mannen</t>
  </si>
  <si>
    <t>premie per € 1.000 OP vrouwen</t>
  </si>
  <si>
    <t>risicopremie per € 1.000 partnerpensioen mannen</t>
  </si>
  <si>
    <t>risicopremie per € 1.000 wezenpensioen mannen</t>
  </si>
  <si>
    <t>risicopremie per € 1.000 partnerpensioen vrouwen</t>
  </si>
  <si>
    <t>risicopremie per € 1.000 wezenpensioen vrouwen</t>
  </si>
  <si>
    <t>man</t>
  </si>
  <si>
    <t>vrouw</t>
  </si>
  <si>
    <t>geslacht</t>
  </si>
  <si>
    <t>Premie</t>
  </si>
  <si>
    <t>interpolatie</t>
  </si>
  <si>
    <t>Premie OP</t>
  </si>
  <si>
    <t>man-PP</t>
  </si>
  <si>
    <t>man-WzP</t>
  </si>
  <si>
    <t>vrouw-PP</t>
  </si>
  <si>
    <t>vrouw-WzP</t>
  </si>
  <si>
    <t>BS-koopsom OP mannen</t>
  </si>
  <si>
    <t>BS-koopsom OP vrouwen</t>
  </si>
  <si>
    <t>te verzekeren NP</t>
  </si>
  <si>
    <t>Berekening eigen bijdrage</t>
  </si>
  <si>
    <t>12,96 x vast maandsalaris</t>
  </si>
  <si>
    <t>per 2015, stijgt evenhard als franchise</t>
  </si>
  <si>
    <t>maximum salaris voor eigen bijdrage:</t>
  </si>
  <si>
    <t>oftewel, max. grondslag eigen bijdrage</t>
  </si>
  <si>
    <t>grondslag eigen bijdrage</t>
  </si>
  <si>
    <t>eigen bijdrage per jaar</t>
  </si>
  <si>
    <t>max.</t>
  </si>
  <si>
    <t>tot mutatiedatum</t>
  </si>
  <si>
    <t>DJ x opb%</t>
  </si>
  <si>
    <t>FT pens.</t>
  </si>
  <si>
    <t>gevend sal</t>
  </si>
  <si>
    <t>Premie werkgever OP</t>
  </si>
  <si>
    <t>20% van NP</t>
  </si>
  <si>
    <t>Geknipt NP</t>
  </si>
  <si>
    <t>Alleenstaand</t>
  </si>
  <si>
    <t>Vrouw</t>
  </si>
  <si>
    <t>Test</t>
  </si>
  <si>
    <t>469368962</t>
  </si>
  <si>
    <t xml:space="preserve">Stel de factor is </t>
  </si>
  <si>
    <t>werkelijk mnd loon</t>
  </si>
  <si>
    <t>DEKKING</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</si>
</sst>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 numFmtId="166" formatCode="0.000000"/>
    <numFmt numFmtId="167" formatCode="0.0"/>
    <numFmt numFmtId="168" formatCode="0.000%"/>
    <numFmt numFmtId="169" formatCode="_-&quot;€&quot;\ * #,##0.00_-;_-&quot;€&quot;\ * #,##0.00\-;_-&quot;€&quot;\ * &quot;-&quot;??_-;_-@_-"/>
    <numFmt numFmtId="170" formatCode="[$-413]dddd\ d\ mmmm\ yyyy"/>
    <numFmt numFmtId="171" formatCode="&quot;Ja&quot;;&quot;Ja&quot;;&quot;Nee&quot;"/>
    <numFmt numFmtId="172" formatCode="&quot;Waar&quot;;&quot;Waar&quot;;&quot;Onwaar&quot;"/>
    <numFmt numFmtId="173" formatCode="&quot;Aan&quot;;&quot;Aan&quot;;&quot;Uit&quot;"/>
    <numFmt numFmtId="174" formatCode="[$€-2]\ #.##000_);[Red]\([$€-2]\ #.##000\)"/>
    <numFmt numFmtId="175" formatCode="#,##0.00_ ;\-#,##0.00\ "/>
    <numFmt numFmtId="176" formatCode="0.0%"/>
    <numFmt numFmtId="177" formatCode="0.0000%"/>
    <numFmt numFmtId="178" formatCode="0.00000000"/>
    <numFmt numFmtId="179" formatCode="0.0000000"/>
    <numFmt numFmtId="180" formatCode="0.00000"/>
    <numFmt numFmtId="181" formatCode="0.0000"/>
    <numFmt numFmtId="182" formatCode="d/mm/yy;@"/>
    <numFmt numFmtId="183" formatCode="&quot;€&quot;\ #,##0.00"/>
    <numFmt numFmtId="184" formatCode="#\ ??/12"/>
    <numFmt numFmtId="185" formatCode="_-[$€-2]\ * #,##0.00_-;_-[$€-2]\ * #,##0.00\-;_-[$€-2]\ * &quot;-&quot;??_-"/>
    <numFmt numFmtId="186" formatCode="_-* #,##0.00_-;_-* #,##0.00\-;_-* &quot;-&quot;??_-;_-@_-"/>
    <numFmt numFmtId="187" formatCode="_ [$€-2]\ * #,##0.00_ ;_ [$€-2]\ * \-#,##0.00_ ;_ [$€-2]\ * &quot;-&quot;??_ ;_ @_ "/>
    <numFmt numFmtId="188" formatCode="_ * #,##0.000_ ;_ * \-#,##0.000_ ;_ * &quot;-&quot;???_ ;_ @_ "/>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s>
  <fonts count="76">
    <font>
      <sz val="10"/>
      <name val="Arial"/>
      <family val="2"/>
    </font>
    <font>
      <sz val="11"/>
      <color indexed="8"/>
      <name val="Calibri"/>
      <family val="2"/>
    </font>
    <font>
      <sz val="10"/>
      <color indexed="8"/>
      <name val="Calibri"/>
      <family val="2"/>
    </font>
    <font>
      <sz val="11"/>
      <color indexed="9"/>
      <name val="Calibri"/>
      <family val="2"/>
    </font>
    <font>
      <sz val="10"/>
      <color indexed="9"/>
      <name val="Calibri"/>
      <family val="2"/>
    </font>
    <font>
      <b/>
      <sz val="11"/>
      <color indexed="52"/>
      <name val="Calibri"/>
      <family val="2"/>
    </font>
    <font>
      <b/>
      <sz val="10"/>
      <color indexed="52"/>
      <name val="Calibri"/>
      <family val="2"/>
    </font>
    <font>
      <b/>
      <sz val="11"/>
      <color indexed="9"/>
      <name val="Calibri"/>
      <family val="2"/>
    </font>
    <font>
      <b/>
      <sz val="10"/>
      <color indexed="9"/>
      <name val="Calibri"/>
      <family val="2"/>
    </font>
    <font>
      <sz val="12"/>
      <name val="Helv"/>
      <family val="0"/>
    </font>
    <font>
      <sz val="11"/>
      <color indexed="52"/>
      <name val="Calibri"/>
      <family val="2"/>
    </font>
    <font>
      <sz val="10"/>
      <color indexed="52"/>
      <name val="Calibri"/>
      <family val="2"/>
    </font>
    <font>
      <sz val="11"/>
      <color indexed="17"/>
      <name val="Calibri"/>
      <family val="2"/>
    </font>
    <font>
      <sz val="10"/>
      <color indexed="17"/>
      <name val="Calibri"/>
      <family val="2"/>
    </font>
    <font>
      <u val="single"/>
      <sz val="10"/>
      <color indexed="12"/>
      <name val="Arial"/>
      <family val="2"/>
    </font>
    <font>
      <sz val="11"/>
      <color indexed="62"/>
      <name val="Calibri"/>
      <family val="2"/>
    </font>
    <font>
      <sz val="10"/>
      <color indexed="62"/>
      <name val="Calibri"/>
      <family val="2"/>
    </font>
    <font>
      <b/>
      <sz val="15"/>
      <color indexed="56"/>
      <name val="Calibri"/>
      <family val="2"/>
    </font>
    <font>
      <b/>
      <sz val="13"/>
      <color indexed="56"/>
      <name val="Calibri"/>
      <family val="2"/>
    </font>
    <font>
      <b/>
      <sz val="11"/>
      <color indexed="56"/>
      <name val="Calibri"/>
      <family val="2"/>
    </font>
    <font>
      <b/>
      <sz val="14"/>
      <name val="Helv"/>
      <family val="0"/>
    </font>
    <font>
      <sz val="11"/>
      <color indexed="60"/>
      <name val="Calibri"/>
      <family val="2"/>
    </font>
    <font>
      <sz val="10"/>
      <color indexed="60"/>
      <name val="Calibri"/>
      <family val="2"/>
    </font>
    <font>
      <sz val="11"/>
      <color indexed="20"/>
      <name val="Calibri"/>
      <family val="2"/>
    </font>
    <font>
      <sz val="10"/>
      <color indexed="20"/>
      <name val="Calibri"/>
      <family val="2"/>
    </font>
    <font>
      <sz val="10"/>
      <name val="Courier"/>
      <family val="3"/>
    </font>
    <font>
      <sz val="10"/>
      <name val="MS Sans Serif"/>
      <family val="2"/>
    </font>
    <font>
      <sz val="12"/>
      <name val="NN-Mono"/>
      <family val="3"/>
    </font>
    <font>
      <b/>
      <sz val="18"/>
      <color indexed="56"/>
      <name val="Cambria"/>
      <family val="2"/>
    </font>
    <font>
      <sz val="24"/>
      <color indexed="13"/>
      <name val="Helv"/>
      <family val="0"/>
    </font>
    <font>
      <b/>
      <sz val="11"/>
      <color indexed="8"/>
      <name val="Calibri"/>
      <family val="2"/>
    </font>
    <font>
      <b/>
      <sz val="10"/>
      <color indexed="8"/>
      <name val="Calibri"/>
      <family val="2"/>
    </font>
    <font>
      <b/>
      <sz val="11"/>
      <color indexed="63"/>
      <name val="Calibri"/>
      <family val="2"/>
    </font>
    <font>
      <b/>
      <sz val="10"/>
      <color indexed="63"/>
      <name val="Calibri"/>
      <family val="2"/>
    </font>
    <font>
      <i/>
      <sz val="11"/>
      <color indexed="23"/>
      <name val="Calibri"/>
      <family val="2"/>
    </font>
    <font>
      <i/>
      <sz val="10"/>
      <color indexed="23"/>
      <name val="Calibri"/>
      <family val="2"/>
    </font>
    <font>
      <sz val="11"/>
      <color indexed="10"/>
      <name val="Calibri"/>
      <family val="2"/>
    </font>
    <font>
      <sz val="10"/>
      <color indexed="10"/>
      <name val="Calibri"/>
      <family val="2"/>
    </font>
    <font>
      <sz val="8"/>
      <name val="Arial"/>
      <family val="2"/>
    </font>
    <font>
      <b/>
      <sz val="16"/>
      <color indexed="9"/>
      <name val="Arial"/>
      <family val="2"/>
    </font>
    <font>
      <b/>
      <sz val="10"/>
      <name val="Arial"/>
      <family val="2"/>
    </font>
    <font>
      <sz val="9"/>
      <name val="Tahoma"/>
      <family val="2"/>
    </font>
    <font>
      <b/>
      <sz val="9"/>
      <name val="Tahoma"/>
      <family val="2"/>
    </font>
    <font>
      <sz val="11"/>
      <color indexed="8"/>
      <name val="Arial"/>
      <family val="2"/>
    </font>
    <font>
      <u val="single"/>
      <sz val="10"/>
      <color indexed="20"/>
      <name val="Arial"/>
      <family val="2"/>
    </font>
    <font>
      <u val="single"/>
      <sz val="11"/>
      <color indexed="12"/>
      <name val="Calibri"/>
      <family val="2"/>
    </font>
    <font>
      <sz val="10"/>
      <color indexed="10"/>
      <name val="Arial"/>
      <family val="2"/>
    </font>
    <font>
      <b/>
      <sz val="10"/>
      <color indexed="58"/>
      <name val="Tahoma"/>
      <family val="2"/>
    </font>
    <font>
      <sz val="10"/>
      <color indexed="28"/>
      <name val="Tahoma"/>
      <family val="2"/>
    </font>
    <font>
      <b/>
      <sz val="11"/>
      <color indexed="10"/>
      <name val="Calibri"/>
      <family val="2"/>
    </font>
    <font>
      <i/>
      <sz val="10"/>
      <name val="Arial"/>
      <family val="2"/>
    </font>
    <font>
      <b/>
      <sz val="8"/>
      <name val="Arial"/>
      <family val="2"/>
    </font>
    <font>
      <sz val="8"/>
      <color indexed="10"/>
      <name val="Arial"/>
      <family val="2"/>
    </font>
    <font>
      <sz val="8"/>
      <color indexed="8"/>
      <name val="Arial"/>
      <family val="2"/>
    </font>
    <font>
      <sz val="10"/>
      <name val="Tahoma"/>
      <family val="2"/>
    </font>
    <font>
      <sz val="10"/>
      <color indexed="52"/>
      <name val="Arial"/>
      <family val="2"/>
    </font>
    <font>
      <sz val="8"/>
      <color indexed="22"/>
      <name val="Arial"/>
      <family val="2"/>
    </font>
    <font>
      <sz val="8"/>
      <color indexed="21"/>
      <name val="Arial"/>
      <family val="2"/>
    </font>
    <font>
      <b/>
      <sz val="8"/>
      <color indexed="22"/>
      <name val="Arial"/>
      <family val="2"/>
    </font>
    <font>
      <sz val="24"/>
      <name val="Arial"/>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sz val="10"/>
      <color rgb="FFFF9A00"/>
      <name val="Arial"/>
      <family val="2"/>
    </font>
    <font>
      <sz val="8"/>
      <color theme="0" tint="-0.149959996342659"/>
      <name val="Arial"/>
      <family val="2"/>
    </font>
    <font>
      <sz val="8"/>
      <color theme="8" tint="-0.49994000792503357"/>
      <name val="Arial"/>
      <family val="2"/>
    </font>
    <font>
      <b/>
      <sz val="8"/>
      <color theme="0" tint="-0.149959996342659"/>
      <name val="Arial"/>
      <family val="2"/>
    </font>
  </fonts>
  <fills count="64">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indexed="27"/>
        <bgColor indexed="64"/>
      </patternFill>
    </fill>
    <fill>
      <patternFill patternType="solid">
        <fgColor theme="9" tint="0.7999500036239624"/>
        <bgColor indexed="64"/>
      </patternFill>
    </fill>
    <fill>
      <patternFill patternType="solid">
        <fgColor indexed="47"/>
        <bgColor indexed="64"/>
      </patternFill>
    </fill>
    <fill>
      <patternFill patternType="solid">
        <fgColor theme="4" tint="0.5999600291252136"/>
        <bgColor indexed="64"/>
      </patternFill>
    </fill>
    <fill>
      <patternFill patternType="solid">
        <fgColor indexed="44"/>
        <bgColor indexed="64"/>
      </patternFill>
    </fill>
    <fill>
      <patternFill patternType="solid">
        <fgColor theme="5" tint="0.5999600291252136"/>
        <bgColor indexed="64"/>
      </patternFill>
    </fill>
    <fill>
      <patternFill patternType="solid">
        <fgColor indexed="29"/>
        <bgColor indexed="64"/>
      </patternFill>
    </fill>
    <fill>
      <patternFill patternType="solid">
        <fgColor theme="6"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12"/>
        <bgColor indexed="64"/>
      </patternFill>
    </fill>
    <fill>
      <patternFill patternType="solid">
        <fgColor rgb="FFFF9A00"/>
        <bgColor indexed="64"/>
      </patternFill>
    </fill>
    <fill>
      <patternFill patternType="solid">
        <fgColor indexed="9"/>
        <bgColor indexed="64"/>
      </patternFill>
    </fill>
    <fill>
      <patternFill patternType="solid">
        <fgColor theme="3" tint="0.7999200224876404"/>
        <bgColor indexed="64"/>
      </patternFill>
    </fill>
    <fill>
      <patternFill patternType="solid">
        <fgColor rgb="FFFFC000"/>
        <bgColor indexed="64"/>
      </patternFill>
    </fill>
    <fill>
      <patternFill patternType="solid">
        <fgColor theme="8" tint="-0.49994000792503357"/>
        <bgColor indexed="64"/>
      </patternFill>
    </fill>
    <fill>
      <patternFill patternType="solid">
        <fgColor rgb="FF92D050"/>
        <bgColor indexed="64"/>
      </patternFill>
    </fill>
    <fill>
      <patternFill patternType="solid">
        <fgColor theme="0" tint="-0.34994998574256897"/>
        <bgColor indexed="64"/>
      </patternFill>
    </fill>
    <fill>
      <patternFill patternType="solid">
        <fgColor indexed="23"/>
        <bgColor indexed="64"/>
      </patternFill>
    </fill>
    <fill>
      <patternFill patternType="solid">
        <fgColor rgb="FF0070C0"/>
        <bgColor indexed="64"/>
      </patternFill>
    </fill>
  </fills>
  <borders count="38">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right style="double"/>
      <top style="double"/>
      <bottom style="double"/>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double">
        <color indexed="52"/>
      </bottom>
    </border>
    <border>
      <left>
        <color indexed="63"/>
      </left>
      <right>
        <color indexed="63"/>
      </right>
      <top>
        <color indexed="63"/>
      </top>
      <bottom style="thick"/>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bottom style="double"/>
    </border>
    <border>
      <left>
        <color indexed="63"/>
      </left>
      <right>
        <color indexed="63"/>
      </right>
      <top style="thin">
        <color indexed="62"/>
      </top>
      <bottom style="double">
        <color indexed="62"/>
      </bottom>
    </border>
    <border>
      <left style="thin">
        <color indexed="8"/>
      </left>
      <right style="thin">
        <color indexed="8"/>
      </right>
      <top style="double">
        <color indexed="8"/>
      </top>
      <bottom style="thin">
        <color indexed="8"/>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medium"/>
    </border>
    <border>
      <left style="thin"/>
      <right style="thin"/>
      <top style="medium"/>
      <bottom style="medium"/>
    </border>
    <border>
      <left style="thin"/>
      <right style="thin"/>
      <top style="medium"/>
      <bottom>
        <color indexed="63"/>
      </bottom>
    </border>
  </borders>
  <cellStyleXfs count="3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4"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4" fillId="43" borderId="0" applyNumberFormat="0" applyBorder="0" applyAlignment="0" applyProtection="0"/>
    <xf numFmtId="0" fontId="3" fillId="43" borderId="0" applyNumberFormat="0" applyBorder="0" applyAlignment="0" applyProtection="0"/>
    <xf numFmtId="0" fontId="60" fillId="44" borderId="1" applyNumberFormat="0" applyAlignment="0" applyProtection="0"/>
    <xf numFmtId="0" fontId="5" fillId="45" borderId="2" applyNumberFormat="0" applyAlignment="0" applyProtection="0"/>
    <xf numFmtId="0" fontId="6" fillId="45" borderId="2" applyNumberFormat="0" applyAlignment="0" applyProtection="0"/>
    <xf numFmtId="0" fontId="7" fillId="46" borderId="3" applyNumberFormat="0" applyAlignment="0" applyProtection="0"/>
    <xf numFmtId="0" fontId="7" fillId="47" borderId="4" applyNumberFormat="0" applyAlignment="0" applyProtection="0"/>
    <xf numFmtId="0" fontId="8" fillId="47" borderId="4" applyNumberFormat="0" applyAlignment="0" applyProtection="0"/>
    <xf numFmtId="0" fontId="7" fillId="47" borderId="4" applyNumberFormat="0" applyAlignment="0" applyProtection="0"/>
    <xf numFmtId="0" fontId="9" fillId="0" borderId="0">
      <alignment/>
      <protection/>
    </xf>
    <xf numFmtId="0" fontId="9" fillId="0" borderId="5">
      <alignment/>
      <protection/>
    </xf>
    <xf numFmtId="185" fontId="0" fillId="0" borderId="0" applyFont="0" applyFill="0" applyBorder="0" applyAlignment="0" applyProtection="0"/>
    <xf numFmtId="0" fontId="61" fillId="0" borderId="6" applyNumberFormat="0" applyFill="0" applyAlignment="0" applyProtection="0"/>
    <xf numFmtId="0" fontId="10" fillId="0" borderId="7" applyNumberFormat="0" applyFill="0" applyAlignment="0" applyProtection="0"/>
    <xf numFmtId="0" fontId="11" fillId="0" borderId="7" applyNumberFormat="0" applyFill="0" applyAlignment="0" applyProtection="0"/>
    <xf numFmtId="0" fontId="44" fillId="0" borderId="0" applyNumberFormat="0" applyFill="0" applyBorder="0" applyAlignment="0" applyProtection="0"/>
    <xf numFmtId="0" fontId="62" fillId="48"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13" borderId="1" applyNumberFormat="0" applyAlignment="0" applyProtection="0"/>
    <xf numFmtId="0" fontId="15" fillId="13" borderId="2" applyNumberFormat="0" applyAlignment="0" applyProtection="0"/>
    <xf numFmtId="0" fontId="16" fillId="13" borderId="2" applyNumberFormat="0" applyAlignment="0" applyProtection="0"/>
    <xf numFmtId="0" fontId="15" fillId="1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8" applyNumberFormat="0" applyFill="0" applyAlignment="0" applyProtection="0"/>
    <xf numFmtId="0" fontId="17" fillId="0" borderId="9" applyNumberFormat="0" applyFill="0" applyAlignment="0" applyProtection="0"/>
    <xf numFmtId="0" fontId="65" fillId="0" borderId="8" applyNumberFormat="0" applyFill="0" applyAlignment="0" applyProtection="0"/>
    <xf numFmtId="0" fontId="18" fillId="0" borderId="10" applyNumberFormat="0" applyFill="0" applyAlignment="0" applyProtection="0"/>
    <xf numFmtId="0" fontId="66" fillId="0" borderId="11" applyNumberFormat="0" applyFill="0" applyAlignment="0" applyProtection="0"/>
    <xf numFmtId="0" fontId="19" fillId="0" borderId="12" applyNumberFormat="0" applyFill="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20" fillId="49" borderId="5">
      <alignment/>
      <protection/>
    </xf>
    <xf numFmtId="0" fontId="67" fillId="50" borderId="0" applyNumberFormat="0" applyBorder="0" applyAlignment="0" applyProtection="0"/>
    <xf numFmtId="0" fontId="21" fillId="51" borderId="0" applyNumberFormat="0" applyBorder="0" applyAlignment="0" applyProtection="0"/>
    <xf numFmtId="0" fontId="22" fillId="51" borderId="0" applyNumberFormat="0" applyBorder="0" applyAlignment="0" applyProtection="0"/>
    <xf numFmtId="0" fontId="1" fillId="52" borderId="1" applyNumberFormat="0" applyFont="0" applyAlignment="0" applyProtection="0"/>
    <xf numFmtId="0" fontId="0" fillId="52" borderId="13" applyNumberFormat="0" applyFont="0" applyAlignment="0" applyProtection="0"/>
    <xf numFmtId="0" fontId="0" fillId="52" borderId="13" applyNumberFormat="0" applyFont="0" applyAlignment="0" applyProtection="0"/>
    <xf numFmtId="0" fontId="68" fillId="53"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5"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9" fillId="0" borderId="5">
      <alignment/>
      <protection/>
    </xf>
    <xf numFmtId="0" fontId="69" fillId="0" borderId="0" applyNumberFormat="0" applyFill="0" applyBorder="0" applyAlignment="0" applyProtection="0"/>
    <xf numFmtId="0" fontId="28" fillId="0" borderId="0" applyNumberFormat="0" applyFill="0" applyBorder="0" applyAlignment="0" applyProtection="0"/>
    <xf numFmtId="0" fontId="29" fillId="54" borderId="0">
      <alignment/>
      <protection/>
    </xf>
    <xf numFmtId="0" fontId="30" fillId="0" borderId="14" applyNumberFormat="0" applyFill="0" applyAlignment="0" applyProtection="0"/>
    <xf numFmtId="0" fontId="30" fillId="0" borderId="15" applyNumberFormat="0" applyFill="0" applyAlignment="0" applyProtection="0"/>
    <xf numFmtId="0" fontId="31" fillId="0" borderId="15" applyNumberFormat="0" applyFill="0" applyAlignment="0" applyProtection="0"/>
    <xf numFmtId="0" fontId="20" fillId="0" borderId="16">
      <alignment/>
      <protection/>
    </xf>
    <xf numFmtId="0" fontId="20" fillId="0" borderId="5">
      <alignment/>
      <protection/>
    </xf>
    <xf numFmtId="0" fontId="70" fillId="44" borderId="1" applyNumberFormat="0" applyAlignment="0" applyProtection="0"/>
    <xf numFmtId="0" fontId="32" fillId="45" borderId="17" applyNumberFormat="0" applyAlignment="0" applyProtection="0"/>
    <xf numFmtId="0" fontId="33" fillId="45" borderId="17" applyNumberFormat="0" applyAlignment="0" applyProtection="0"/>
    <xf numFmtId="0" fontId="32" fillId="45" borderId="17"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9" fontId="0" fillId="0" borderId="0" applyFont="0" applyFill="0" applyBorder="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14">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39" fillId="33" borderId="0" xfId="0" applyFont="1" applyFill="1" applyBorder="1" applyAlignment="1" applyProtection="1">
      <alignment/>
      <protection hidden="1"/>
    </xf>
    <xf numFmtId="0" fontId="72" fillId="33" borderId="0" xfId="0" applyFont="1" applyFill="1" applyBorder="1" applyAlignment="1" applyProtection="1">
      <alignment/>
      <protection/>
    </xf>
    <xf numFmtId="0" fontId="0" fillId="33" borderId="0" xfId="0" applyFill="1" applyBorder="1" applyAlignment="1" applyProtection="1">
      <alignment/>
      <protection/>
    </xf>
    <xf numFmtId="0" fontId="0" fillId="55" borderId="0" xfId="0" applyFont="1" applyFill="1" applyAlignment="1">
      <alignment/>
    </xf>
    <xf numFmtId="0" fontId="0" fillId="56" borderId="1" xfId="0" applyFont="1" applyFill="1" applyBorder="1" applyAlignment="1" applyProtection="1">
      <alignment/>
      <protection/>
    </xf>
    <xf numFmtId="0" fontId="46" fillId="56" borderId="18"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right"/>
      <protection/>
    </xf>
    <xf numFmtId="0" fontId="0" fillId="56" borderId="1" xfId="0" applyFill="1" applyBorder="1" applyAlignment="1" applyProtection="1">
      <alignment/>
      <protection/>
    </xf>
    <xf numFmtId="0" fontId="46" fillId="56" borderId="19" xfId="0" applyNumberFormat="1" applyFont="1" applyFill="1" applyBorder="1" applyAlignment="1" applyProtection="1">
      <alignment horizontal="left"/>
      <protection locked="0"/>
    </xf>
    <xf numFmtId="0" fontId="0" fillId="0" borderId="20" xfId="0" applyFont="1" applyBorder="1" applyAlignment="1" applyProtection="1">
      <alignment/>
      <protection/>
    </xf>
    <xf numFmtId="0" fontId="0" fillId="56" borderId="19" xfId="0" applyFill="1" applyBorder="1" applyAlignment="1" applyProtection="1">
      <alignment/>
      <protection/>
    </xf>
    <xf numFmtId="0" fontId="46" fillId="56" borderId="19" xfId="0" applyFont="1" applyFill="1" applyBorder="1" applyAlignment="1" applyProtection="1">
      <alignment/>
      <protection/>
    </xf>
    <xf numFmtId="0" fontId="0" fillId="0" borderId="21" xfId="0" applyBorder="1" applyAlignment="1">
      <alignment/>
    </xf>
    <xf numFmtId="0" fontId="46" fillId="56" borderId="22" xfId="0" applyFont="1" applyFill="1" applyBorder="1" applyAlignment="1" applyProtection="1">
      <alignment horizontal="left"/>
      <protection/>
    </xf>
    <xf numFmtId="0" fontId="40" fillId="49" borderId="19" xfId="0" applyFont="1" applyFill="1" applyBorder="1" applyAlignment="1" applyProtection="1">
      <alignment horizontal="center"/>
      <protection/>
    </xf>
    <xf numFmtId="0" fontId="40" fillId="49" borderId="20" xfId="0" applyFont="1" applyFill="1" applyBorder="1" applyAlignment="1" applyProtection="1">
      <alignment horizontal="right"/>
      <protection/>
    </xf>
    <xf numFmtId="0" fontId="46" fillId="56" borderId="1" xfId="0" applyNumberFormat="1" applyFont="1" applyFill="1" applyBorder="1" applyAlignment="1" applyProtection="1">
      <alignment horizontal="left"/>
      <protection/>
    </xf>
    <xf numFmtId="166" fontId="0" fillId="0" borderId="0" xfId="0" applyNumberFormat="1" applyFont="1" applyFill="1" applyBorder="1" applyAlignment="1" applyProtection="1">
      <alignment/>
      <protection/>
    </xf>
    <xf numFmtId="10" fontId="46" fillId="56" borderId="1" xfId="177" applyNumberFormat="1" applyFont="1" applyFill="1" applyBorder="1" applyAlignment="1" applyProtection="1">
      <alignment/>
      <protection locked="0"/>
    </xf>
    <xf numFmtId="167" fontId="46" fillId="56" borderId="1" xfId="0" applyNumberFormat="1" applyFont="1" applyFill="1" applyBorder="1" applyAlignment="1" applyProtection="1">
      <alignment horizontal="left"/>
      <protection/>
    </xf>
    <xf numFmtId="14" fontId="46" fillId="56" borderId="1" xfId="0" applyNumberFormat="1" applyFont="1" applyFill="1" applyBorder="1" applyAlignment="1" applyProtection="1">
      <alignment horizontal="left"/>
      <protection locked="0"/>
    </xf>
    <xf numFmtId="0" fontId="0" fillId="56" borderId="1" xfId="0" applyFont="1" applyFill="1" applyBorder="1" applyAlignment="1">
      <alignment/>
    </xf>
    <xf numFmtId="0" fontId="0" fillId="56" borderId="19" xfId="0" applyFont="1" applyFill="1" applyBorder="1" applyAlignment="1" applyProtection="1">
      <alignment/>
      <protection/>
    </xf>
    <xf numFmtId="0" fontId="46" fillId="56" borderId="1" xfId="0" applyFont="1" applyFill="1" applyBorder="1" applyAlignment="1" applyProtection="1">
      <alignment/>
      <protection locked="0"/>
    </xf>
    <xf numFmtId="168" fontId="0" fillId="0" borderId="0" xfId="0" applyNumberFormat="1" applyFont="1" applyFill="1" applyBorder="1" applyAlignment="1" applyProtection="1">
      <alignment/>
      <protection/>
    </xf>
    <xf numFmtId="168" fontId="0" fillId="0" borderId="0" xfId="177" applyNumberFormat="1" applyFont="1" applyFill="1" applyBorder="1" applyAlignment="1" applyProtection="1">
      <alignment/>
      <protection/>
    </xf>
    <xf numFmtId="14" fontId="46" fillId="56" borderId="1" xfId="0" applyNumberFormat="1" applyFont="1" applyFill="1" applyBorder="1" applyAlignment="1" applyProtection="1">
      <alignment horizontal="left"/>
      <protection/>
    </xf>
    <xf numFmtId="10" fontId="0" fillId="0" borderId="0" xfId="177" applyNumberFormat="1" applyFont="1" applyFill="1" applyBorder="1" applyAlignment="1" applyProtection="1">
      <alignment horizontal="right"/>
      <protection/>
    </xf>
    <xf numFmtId="0" fontId="0" fillId="56" borderId="1" xfId="0" applyFont="1" applyFill="1" applyBorder="1" applyAlignment="1" applyProtection="1">
      <alignment horizontal="left" indent="4"/>
      <protection/>
    </xf>
    <xf numFmtId="10" fontId="46" fillId="56" borderId="1" xfId="177" applyNumberFormat="1" applyFont="1" applyFill="1" applyBorder="1" applyAlignment="1" applyProtection="1">
      <alignment horizontal="right"/>
      <protection locked="0"/>
    </xf>
    <xf numFmtId="10" fontId="0" fillId="56" borderId="1" xfId="177" applyNumberFormat="1" applyFont="1" applyFill="1" applyBorder="1" applyAlignment="1" applyProtection="1">
      <alignment horizontal="right"/>
      <protection/>
    </xf>
    <xf numFmtId="0" fontId="0" fillId="56" borderId="1" xfId="0" applyFill="1" applyBorder="1" applyAlignment="1" applyProtection="1">
      <alignment horizontal="left" indent="4"/>
      <protection/>
    </xf>
    <xf numFmtId="165" fontId="0" fillId="0" borderId="0" xfId="0" applyNumberFormat="1" applyFont="1" applyFill="1" applyBorder="1" applyAlignment="1" applyProtection="1">
      <alignment/>
      <protection/>
    </xf>
    <xf numFmtId="0" fontId="46" fillId="56" borderId="1" xfId="0" applyFont="1" applyFill="1" applyBorder="1" applyAlignment="1" applyProtection="1">
      <alignment horizontal="left"/>
      <protection locked="0"/>
    </xf>
    <xf numFmtId="0" fontId="0" fillId="0" borderId="0" xfId="0" applyFont="1" applyAlignment="1" applyProtection="1">
      <alignment/>
      <protection/>
    </xf>
    <xf numFmtId="166" fontId="46" fillId="56" borderId="1" xfId="177" applyNumberFormat="1" applyFont="1" applyFill="1" applyBorder="1" applyAlignment="1" applyProtection="1">
      <alignment/>
      <protection locked="0"/>
    </xf>
    <xf numFmtId="0" fontId="0" fillId="56" borderId="0" xfId="0" applyFill="1" applyBorder="1" applyAlignment="1" applyProtection="1">
      <alignment/>
      <protection/>
    </xf>
    <xf numFmtId="0" fontId="0" fillId="56" borderId="0" xfId="0" applyFill="1" applyBorder="1" applyAlignment="1" applyProtection="1">
      <alignment horizontal="right"/>
      <protection/>
    </xf>
    <xf numFmtId="0" fontId="0" fillId="0" borderId="0" xfId="0" applyAlignment="1" applyProtection="1">
      <alignment/>
      <protection/>
    </xf>
    <xf numFmtId="166" fontId="46" fillId="56" borderId="0" xfId="177" applyNumberFormat="1" applyFont="1" applyFill="1" applyBorder="1" applyAlignment="1" applyProtection="1">
      <alignment/>
      <protection/>
    </xf>
    <xf numFmtId="9" fontId="0" fillId="56" borderId="1" xfId="177" applyFont="1" applyFill="1" applyBorder="1" applyAlignment="1" applyProtection="1">
      <alignment/>
      <protection/>
    </xf>
    <xf numFmtId="0" fontId="0" fillId="56" borderId="1" xfId="0" applyFill="1" applyBorder="1" applyAlignment="1" applyProtection="1">
      <alignment/>
      <protection hidden="1"/>
    </xf>
    <xf numFmtId="0" fontId="0" fillId="56" borderId="19" xfId="0" applyFill="1" applyBorder="1" applyAlignment="1" applyProtection="1">
      <alignment/>
      <protection hidden="1"/>
    </xf>
    <xf numFmtId="0" fontId="0" fillId="0" borderId="20" xfId="0" applyBorder="1" applyAlignment="1">
      <alignment/>
    </xf>
    <xf numFmtId="0" fontId="0" fillId="56" borderId="22" xfId="0" applyFill="1" applyBorder="1" applyAlignment="1" applyProtection="1">
      <alignment/>
      <protection/>
    </xf>
    <xf numFmtId="0" fontId="0" fillId="56" borderId="0" xfId="0" applyFill="1" applyAlignment="1" applyProtection="1">
      <alignment/>
      <protection/>
    </xf>
    <xf numFmtId="0" fontId="0" fillId="56" borderId="0" xfId="0" applyFill="1" applyBorder="1" applyAlignment="1" applyProtection="1">
      <alignment horizontal="left"/>
      <protection/>
    </xf>
    <xf numFmtId="0" fontId="0" fillId="0" borderId="23" xfId="0" applyBorder="1" applyAlignment="1" applyProtection="1">
      <alignment/>
      <protection/>
    </xf>
    <xf numFmtId="0" fontId="0" fillId="0" borderId="19"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0" fillId="0" borderId="1" xfId="0" applyBorder="1" applyAlignment="1" applyProtection="1">
      <alignment/>
      <protection/>
    </xf>
    <xf numFmtId="0" fontId="0" fillId="0" borderId="19" xfId="0" applyBorder="1" applyAlignment="1" applyProtection="1">
      <alignment/>
      <protection/>
    </xf>
    <xf numFmtId="0" fontId="40" fillId="0" borderId="0" xfId="0" applyFont="1" applyAlignment="1" applyProtection="1">
      <alignment/>
      <protection/>
    </xf>
    <xf numFmtId="4" fontId="0" fillId="0" borderId="0" xfId="0" applyNumberFormat="1" applyAlignment="1">
      <alignment/>
    </xf>
    <xf numFmtId="14" fontId="0" fillId="0" borderId="0" xfId="0" applyNumberFormat="1" applyAlignment="1">
      <alignment/>
    </xf>
    <xf numFmtId="2" fontId="0" fillId="0" borderId="0" xfId="0" applyNumberFormat="1" applyAlignment="1">
      <alignment/>
    </xf>
    <xf numFmtId="0" fontId="0" fillId="49" borderId="0" xfId="0" applyFill="1" applyAlignment="1">
      <alignment/>
    </xf>
    <xf numFmtId="0" fontId="0" fillId="18" borderId="0" xfId="0" applyFill="1" applyAlignment="1">
      <alignment/>
    </xf>
    <xf numFmtId="0" fontId="43" fillId="0" borderId="0" xfId="0" applyFont="1" applyAlignment="1">
      <alignment vertical="center"/>
    </xf>
    <xf numFmtId="0" fontId="0" fillId="0" borderId="0" xfId="0" applyFill="1" applyAlignment="1">
      <alignment/>
    </xf>
    <xf numFmtId="0" fontId="0" fillId="0" borderId="0" xfId="0" applyNumberFormat="1" applyAlignment="1">
      <alignment/>
    </xf>
    <xf numFmtId="0" fontId="40" fillId="0" borderId="0" xfId="0" applyFont="1" applyAlignment="1">
      <alignment/>
    </xf>
    <xf numFmtId="0" fontId="38" fillId="0" borderId="0" xfId="0" applyFont="1" applyAlignment="1">
      <alignment vertical="top" wrapText="1"/>
    </xf>
    <xf numFmtId="10" fontId="0" fillId="0" borderId="0" xfId="0" applyNumberFormat="1" applyAlignment="1">
      <alignment/>
    </xf>
    <xf numFmtId="0" fontId="47" fillId="0" borderId="0" xfId="0" applyFont="1" applyAlignment="1">
      <alignment horizontal="center" wrapText="1"/>
    </xf>
    <xf numFmtId="3" fontId="48" fillId="0" borderId="5" xfId="0" applyNumberFormat="1" applyFont="1" applyBorder="1" applyAlignment="1">
      <alignment horizontal="right"/>
    </xf>
    <xf numFmtId="4" fontId="48" fillId="0" borderId="5" xfId="0" applyNumberFormat="1" applyFont="1" applyBorder="1" applyAlignment="1">
      <alignment horizontal="right"/>
    </xf>
    <xf numFmtId="0" fontId="0" fillId="0" borderId="0" xfId="0" applyFont="1" applyAlignment="1">
      <alignment/>
    </xf>
    <xf numFmtId="44" fontId="1" fillId="0" borderId="0" xfId="318" applyAlignment="1">
      <alignment/>
    </xf>
    <xf numFmtId="44" fontId="0" fillId="0" borderId="0" xfId="0" applyNumberFormat="1" applyAlignment="1">
      <alignment/>
    </xf>
    <xf numFmtId="0" fontId="30" fillId="57" borderId="0" xfId="191" applyFont="1" applyFill="1" applyAlignment="1">
      <alignment horizontal="center"/>
      <protection/>
    </xf>
    <xf numFmtId="0" fontId="30" fillId="0" borderId="0" xfId="191" applyFont="1" applyFill="1" applyAlignment="1">
      <alignment horizontal="center"/>
      <protection/>
    </xf>
    <xf numFmtId="0" fontId="30" fillId="0" borderId="0" xfId="191" applyFont="1" applyAlignment="1">
      <alignment horizontal="center"/>
      <protection/>
    </xf>
    <xf numFmtId="0" fontId="49" fillId="0" borderId="0" xfId="191" applyFont="1" applyAlignment="1">
      <alignment horizontal="center"/>
      <protection/>
    </xf>
    <xf numFmtId="0" fontId="30" fillId="58" borderId="0" xfId="191" applyFont="1" applyFill="1" applyAlignment="1">
      <alignment horizontal="center"/>
      <protection/>
    </xf>
    <xf numFmtId="14" fontId="0" fillId="0" borderId="0" xfId="191" applyNumberFormat="1" applyFont="1">
      <alignment/>
      <protection/>
    </xf>
    <xf numFmtId="2" fontId="0" fillId="0" borderId="0" xfId="191" applyNumberFormat="1" applyFont="1">
      <alignment/>
      <protection/>
    </xf>
    <xf numFmtId="180" fontId="0" fillId="0" borderId="0" xfId="191" applyNumberFormat="1" applyFont="1">
      <alignment/>
      <protection/>
    </xf>
    <xf numFmtId="0" fontId="1" fillId="0" borderId="0" xfId="191" applyFont="1" applyFill="1" applyAlignment="1">
      <alignment horizontal="center"/>
      <protection/>
    </xf>
    <xf numFmtId="1" fontId="0" fillId="0" borderId="0" xfId="191" applyNumberFormat="1" applyFont="1">
      <alignment/>
      <protection/>
    </xf>
    <xf numFmtId="44" fontId="50" fillId="0" borderId="0" xfId="0" applyNumberFormat="1" applyFont="1" applyAlignment="1">
      <alignment/>
    </xf>
    <xf numFmtId="43" fontId="0" fillId="0" borderId="0" xfId="137" applyFont="1" applyAlignment="1">
      <alignment/>
    </xf>
    <xf numFmtId="43" fontId="0" fillId="0" borderId="0" xfId="0" applyNumberFormat="1" applyAlignment="1">
      <alignment/>
    </xf>
    <xf numFmtId="9" fontId="0" fillId="0" borderId="0" xfId="0" applyNumberFormat="1" applyAlignment="1">
      <alignment/>
    </xf>
    <xf numFmtId="0" fontId="0" fillId="49" borderId="0" xfId="0" applyFill="1" applyAlignment="1">
      <alignment/>
    </xf>
    <xf numFmtId="0" fontId="73" fillId="59" borderId="24" xfId="0" applyFont="1" applyFill="1" applyBorder="1" applyAlignment="1" applyProtection="1">
      <alignment horizontal="center" shrinkToFit="1"/>
      <protection hidden="1"/>
    </xf>
    <xf numFmtId="0" fontId="73" fillId="59" borderId="26" xfId="0" applyFont="1" applyFill="1" applyBorder="1" applyAlignment="1" applyProtection="1">
      <alignment horizontal="center" shrinkToFit="1"/>
      <protection hidden="1"/>
    </xf>
    <xf numFmtId="0" fontId="38" fillId="0" borderId="1" xfId="0" applyFont="1" applyBorder="1" applyAlignment="1">
      <alignment/>
    </xf>
    <xf numFmtId="0" fontId="38" fillId="0" borderId="1" xfId="0" applyFont="1" applyFill="1" applyBorder="1" applyAlignment="1">
      <alignment/>
    </xf>
    <xf numFmtId="0" fontId="51" fillId="0" borderId="0" xfId="0" applyFont="1" applyFill="1" applyAlignment="1" applyProtection="1">
      <alignment horizontal="center"/>
      <protection hidden="1"/>
    </xf>
    <xf numFmtId="0" fontId="38" fillId="0" borderId="0" xfId="0" applyFont="1" applyFill="1" applyAlignment="1" applyProtection="1">
      <alignment/>
      <protection hidden="1"/>
    </xf>
    <xf numFmtId="0" fontId="38" fillId="0" borderId="0" xfId="0" applyFont="1" applyFill="1" applyAlignment="1" applyProtection="1">
      <alignment horizontal="center"/>
      <protection hidden="1"/>
    </xf>
    <xf numFmtId="165" fontId="38" fillId="0" borderId="0" xfId="0" applyNumberFormat="1" applyFont="1" applyFill="1" applyAlignment="1" applyProtection="1">
      <alignment horizontal="center"/>
      <protection hidden="1"/>
    </xf>
    <xf numFmtId="9" fontId="38" fillId="0" borderId="0" xfId="177" applyFont="1" applyFill="1" applyAlignment="1" applyProtection="1">
      <alignment horizontal="center"/>
      <protection hidden="1"/>
    </xf>
    <xf numFmtId="185" fontId="38" fillId="0" borderId="0" xfId="120" applyFont="1" applyFill="1" applyAlignment="1" applyProtection="1">
      <alignment/>
      <protection hidden="1"/>
    </xf>
    <xf numFmtId="176" fontId="38" fillId="0" borderId="0" xfId="177" applyNumberFormat="1" applyFont="1" applyFill="1" applyAlignment="1" applyProtection="1">
      <alignment/>
      <protection hidden="1"/>
    </xf>
    <xf numFmtId="0" fontId="38" fillId="0" borderId="0" xfId="0" applyFont="1" applyFill="1" applyAlignment="1" applyProtection="1">
      <alignment horizontal="left"/>
      <protection hidden="1"/>
    </xf>
    <xf numFmtId="0" fontId="74" fillId="0" borderId="0" xfId="0" applyFont="1" applyFill="1" applyAlignment="1" applyProtection="1">
      <alignment horizontal="left"/>
      <protection hidden="1"/>
    </xf>
    <xf numFmtId="0" fontId="38" fillId="0" borderId="0" xfId="0" applyFont="1" applyFill="1" applyAlignment="1" applyProtection="1">
      <alignment/>
      <protection hidden="1"/>
    </xf>
    <xf numFmtId="14" fontId="52" fillId="0" borderId="0" xfId="0" applyNumberFormat="1" applyFont="1" applyFill="1" applyBorder="1" applyAlignment="1" applyProtection="1">
      <alignment horizontal="center"/>
      <protection hidden="1"/>
    </xf>
    <xf numFmtId="0" fontId="75" fillId="59" borderId="1" xfId="0" applyFont="1" applyFill="1" applyBorder="1" applyAlignment="1" applyProtection="1">
      <alignment horizontal="left"/>
      <protection hidden="1"/>
    </xf>
    <xf numFmtId="0" fontId="75" fillId="59" borderId="1" xfId="0" applyFont="1" applyFill="1" applyBorder="1" applyAlignment="1" applyProtection="1">
      <alignment horizontal="center"/>
      <protection hidden="1"/>
    </xf>
    <xf numFmtId="9" fontId="75" fillId="59" borderId="1" xfId="177" applyFont="1" applyFill="1" applyBorder="1" applyAlignment="1" applyProtection="1">
      <alignment horizontal="center"/>
      <protection hidden="1"/>
    </xf>
    <xf numFmtId="165" fontId="38" fillId="0" borderId="0" xfId="0" applyNumberFormat="1" applyFont="1" applyFill="1" applyBorder="1" applyAlignment="1" applyProtection="1">
      <alignment horizontal="center"/>
      <protection hidden="1"/>
    </xf>
    <xf numFmtId="9" fontId="38" fillId="0" borderId="0" xfId="177" applyFont="1" applyFill="1" applyBorder="1" applyAlignment="1" applyProtection="1">
      <alignment horizontal="center"/>
      <protection hidden="1"/>
    </xf>
    <xf numFmtId="185" fontId="38" fillId="0" borderId="0" xfId="120" applyFont="1" applyFill="1" applyBorder="1" applyAlignment="1" applyProtection="1">
      <alignment/>
      <protection hidden="1"/>
    </xf>
    <xf numFmtId="0" fontId="52" fillId="0" borderId="0" xfId="0" applyFont="1" applyFill="1" applyBorder="1" applyAlignment="1" applyProtection="1">
      <alignment horizontal="center"/>
      <protection hidden="1"/>
    </xf>
    <xf numFmtId="0" fontId="38" fillId="0" borderId="1" xfId="0" applyFont="1" applyFill="1" applyBorder="1" applyAlignment="1" applyProtection="1">
      <alignment horizontal="center"/>
      <protection hidden="1"/>
    </xf>
    <xf numFmtId="185" fontId="38" fillId="0" borderId="0" xfId="120" applyFont="1" applyFill="1" applyBorder="1" applyAlignment="1" applyProtection="1">
      <alignment/>
      <protection hidden="1"/>
    </xf>
    <xf numFmtId="0" fontId="38" fillId="0" borderId="0" xfId="0" applyFont="1" applyFill="1" applyBorder="1" applyAlignment="1" applyProtection="1">
      <alignment horizontal="left"/>
      <protection hidden="1"/>
    </xf>
    <xf numFmtId="43" fontId="38" fillId="0" borderId="1" xfId="139" applyFont="1" applyFill="1" applyBorder="1" applyAlignment="1" applyProtection="1">
      <alignment horizontal="center"/>
      <protection hidden="1"/>
    </xf>
    <xf numFmtId="43" fontId="53" fillId="0" borderId="1" xfId="139" applyFont="1" applyFill="1" applyBorder="1" applyAlignment="1">
      <alignment horizontal="center" wrapText="1"/>
    </xf>
    <xf numFmtId="10" fontId="52" fillId="0" borderId="0" xfId="177" applyNumberFormat="1" applyFont="1" applyFill="1" applyBorder="1" applyAlignment="1" applyProtection="1">
      <alignment horizontal="center"/>
      <protection hidden="1"/>
    </xf>
    <xf numFmtId="0" fontId="51" fillId="0" borderId="0" xfId="0" applyFont="1" applyFill="1" applyBorder="1" applyAlignment="1" applyProtection="1">
      <alignment/>
      <protection hidden="1"/>
    </xf>
    <xf numFmtId="14" fontId="51" fillId="0" borderId="0" xfId="0" applyNumberFormat="1" applyFont="1" applyFill="1" applyAlignment="1" applyProtection="1">
      <alignment horizontal="center"/>
      <protection hidden="1"/>
    </xf>
    <xf numFmtId="1" fontId="51" fillId="0" borderId="0" xfId="0" applyNumberFormat="1" applyFont="1" applyFill="1" applyAlignment="1" applyProtection="1">
      <alignment horizontal="center"/>
      <protection hidden="1"/>
    </xf>
    <xf numFmtId="0" fontId="51" fillId="0" borderId="0" xfId="0" applyFont="1" applyFill="1" applyBorder="1" applyAlignment="1" applyProtection="1">
      <alignment horizontal="center"/>
      <protection hidden="1"/>
    </xf>
    <xf numFmtId="1" fontId="38" fillId="0" borderId="1" xfId="0" applyNumberFormat="1" applyFont="1" applyFill="1" applyBorder="1" applyAlignment="1" applyProtection="1">
      <alignment horizontal="center"/>
      <protection hidden="1"/>
    </xf>
    <xf numFmtId="168" fontId="51" fillId="0" borderId="0" xfId="177" applyNumberFormat="1" applyFont="1" applyFill="1" applyAlignment="1" applyProtection="1">
      <alignment horizontal="center"/>
      <protection hidden="1"/>
    </xf>
    <xf numFmtId="185" fontId="51" fillId="0" borderId="0" xfId="120" applyFont="1" applyFill="1" applyBorder="1" applyAlignment="1" applyProtection="1">
      <alignment/>
      <protection hidden="1"/>
    </xf>
    <xf numFmtId="176" fontId="51" fillId="0" borderId="0" xfId="177" applyNumberFormat="1" applyFont="1" applyFill="1" applyAlignment="1" applyProtection="1">
      <alignment/>
      <protection hidden="1"/>
    </xf>
    <xf numFmtId="0" fontId="51" fillId="0" borderId="0" xfId="0" applyFont="1" applyFill="1" applyAlignment="1" applyProtection="1">
      <alignment/>
      <protection hidden="1"/>
    </xf>
    <xf numFmtId="165" fontId="51" fillId="0" borderId="0" xfId="0" applyNumberFormat="1" applyFont="1" applyFill="1" applyAlignment="1" applyProtection="1">
      <alignment horizontal="center"/>
      <protection hidden="1"/>
    </xf>
    <xf numFmtId="9" fontId="51" fillId="0" borderId="0" xfId="177" applyFont="1" applyFill="1" applyAlignment="1" applyProtection="1">
      <alignment horizontal="center"/>
      <protection hidden="1"/>
    </xf>
    <xf numFmtId="185" fontId="51" fillId="0" borderId="0" xfId="120" applyFont="1" applyFill="1" applyAlignment="1" applyProtection="1">
      <alignment horizontal="center"/>
      <protection hidden="1"/>
    </xf>
    <xf numFmtId="176" fontId="51" fillId="0" borderId="0" xfId="177" applyNumberFormat="1" applyFont="1" applyFill="1" applyAlignment="1" applyProtection="1">
      <alignment horizontal="center"/>
      <protection hidden="1"/>
    </xf>
    <xf numFmtId="0" fontId="51" fillId="0" borderId="0" xfId="0" applyFont="1" applyFill="1" applyBorder="1" applyAlignment="1" applyProtection="1">
      <alignment horizontal="center" shrinkToFit="1"/>
      <protection hidden="1"/>
    </xf>
    <xf numFmtId="168" fontId="38" fillId="0" borderId="0" xfId="0" applyNumberFormat="1" applyFont="1" applyFill="1" applyAlignment="1" applyProtection="1">
      <alignment shrinkToFit="1"/>
      <protection hidden="1"/>
    </xf>
    <xf numFmtId="0" fontId="51" fillId="0" borderId="1" xfId="0" applyFont="1" applyFill="1" applyBorder="1" applyAlignment="1" applyProtection="1">
      <alignment horizontal="center"/>
      <protection hidden="1"/>
    </xf>
    <xf numFmtId="43" fontId="38" fillId="0" borderId="1" xfId="139" applyFont="1" applyFill="1" applyBorder="1" applyAlignment="1">
      <alignment/>
    </xf>
    <xf numFmtId="10" fontId="38" fillId="0" borderId="1" xfId="177" applyNumberFormat="1" applyFont="1" applyFill="1" applyBorder="1" applyAlignment="1">
      <alignment/>
    </xf>
    <xf numFmtId="43" fontId="38" fillId="0" borderId="1" xfId="139" applyFont="1" applyFill="1" applyBorder="1" applyAlignment="1" applyProtection="1">
      <alignment horizontal="center"/>
      <protection locked="0"/>
    </xf>
    <xf numFmtId="43" fontId="38" fillId="0" borderId="1" xfId="139" applyFont="1" applyFill="1" applyBorder="1" applyAlignment="1" applyProtection="1">
      <alignment/>
      <protection hidden="1"/>
    </xf>
    <xf numFmtId="43" fontId="38" fillId="0" borderId="1" xfId="0" applyNumberFormat="1" applyFont="1" applyFill="1" applyBorder="1" applyAlignment="1" applyProtection="1">
      <alignment/>
      <protection hidden="1"/>
    </xf>
    <xf numFmtId="185" fontId="38" fillId="0" borderId="1" xfId="120" applyFont="1" applyFill="1" applyBorder="1" applyAlignment="1" applyProtection="1">
      <alignment/>
      <protection hidden="1"/>
    </xf>
    <xf numFmtId="43" fontId="38" fillId="0" borderId="0" xfId="0" applyNumberFormat="1" applyFont="1" applyFill="1" applyAlignment="1" applyProtection="1">
      <alignment/>
      <protection hidden="1"/>
    </xf>
    <xf numFmtId="10" fontId="38" fillId="0" borderId="0" xfId="176" applyNumberFormat="1" applyFont="1" applyFill="1" applyBorder="1" applyAlignment="1" applyProtection="1">
      <alignment horizontal="center"/>
      <protection hidden="1"/>
    </xf>
    <xf numFmtId="168" fontId="38" fillId="0" borderId="0" xfId="176" applyNumberFormat="1" applyFont="1" applyFill="1" applyBorder="1" applyAlignment="1" applyProtection="1">
      <alignment horizontal="center"/>
      <protection hidden="1"/>
    </xf>
    <xf numFmtId="49" fontId="0" fillId="0" borderId="0" xfId="0" applyNumberFormat="1" applyAlignment="1" applyProtection="1">
      <alignment/>
      <protection locked="0"/>
    </xf>
    <xf numFmtId="49" fontId="0" fillId="0" borderId="0" xfId="0" applyNumberFormat="1" applyFont="1" applyAlignment="1" applyProtection="1">
      <alignment/>
      <protection locked="0"/>
    </xf>
    <xf numFmtId="0" fontId="0" fillId="60" borderId="0" xfId="0" applyFill="1" applyAlignment="1">
      <alignment/>
    </xf>
    <xf numFmtId="0" fontId="0" fillId="61" borderId="0" xfId="0" applyFill="1" applyAlignment="1">
      <alignment/>
    </xf>
    <xf numFmtId="14" fontId="0" fillId="61" borderId="0" xfId="0" applyNumberFormat="1" applyFill="1" applyAlignment="1">
      <alignment/>
    </xf>
    <xf numFmtId="43" fontId="0" fillId="61" borderId="0" xfId="137" applyFont="1" applyFill="1" applyAlignment="1">
      <alignment/>
    </xf>
    <xf numFmtId="0" fontId="38" fillId="0" borderId="0" xfId="0" applyFont="1" applyBorder="1" applyAlignment="1">
      <alignment/>
    </xf>
    <xf numFmtId="43" fontId="0" fillId="0" borderId="0" xfId="137" applyFont="1" applyFill="1" applyAlignment="1">
      <alignment/>
    </xf>
    <xf numFmtId="180" fontId="0" fillId="0" borderId="0" xfId="191" applyNumberFormat="1" applyFont="1" applyFill="1">
      <alignment/>
      <protection/>
    </xf>
    <xf numFmtId="180" fontId="0" fillId="0" borderId="0" xfId="0" applyNumberFormat="1" applyFill="1" applyAlignment="1">
      <alignment/>
    </xf>
    <xf numFmtId="4" fontId="0" fillId="0" borderId="0" xfId="191" applyNumberFormat="1" applyFont="1" applyFill="1">
      <alignment/>
      <protection/>
    </xf>
    <xf numFmtId="2" fontId="0" fillId="0" borderId="0" xfId="0" applyNumberFormat="1" applyFill="1" applyAlignment="1">
      <alignment/>
    </xf>
    <xf numFmtId="4" fontId="0" fillId="60" borderId="0" xfId="0" applyNumberFormat="1" applyFill="1" applyAlignment="1">
      <alignment/>
    </xf>
    <xf numFmtId="43" fontId="0" fillId="60" borderId="0" xfId="137" applyFont="1" applyFill="1" applyAlignment="1">
      <alignment/>
    </xf>
    <xf numFmtId="197" fontId="0" fillId="0" borderId="0" xfId="0" applyNumberFormat="1" applyAlignment="1">
      <alignment/>
    </xf>
    <xf numFmtId="43" fontId="0" fillId="60" borderId="0" xfId="0" applyNumberFormat="1" applyFill="1" applyAlignment="1">
      <alignment/>
    </xf>
    <xf numFmtId="0" fontId="54" fillId="0" borderId="0" xfId="0" applyFont="1" applyAlignment="1">
      <alignment/>
    </xf>
    <xf numFmtId="4" fontId="48" fillId="62" borderId="5" xfId="0" applyNumberFormat="1" applyFont="1" applyFill="1" applyBorder="1" applyAlignment="1">
      <alignment horizontal="right"/>
    </xf>
    <xf numFmtId="44" fontId="0" fillId="0" borderId="0" xfId="318" applyFont="1" applyAlignment="1">
      <alignment/>
    </xf>
    <xf numFmtId="43" fontId="48" fillId="0" borderId="5" xfId="137" applyFont="1" applyBorder="1" applyAlignment="1">
      <alignment horizontal="right"/>
    </xf>
    <xf numFmtId="44" fontId="0" fillId="60" borderId="0" xfId="318" applyFont="1" applyFill="1" applyAlignment="1">
      <alignment/>
    </xf>
    <xf numFmtId="0" fontId="40" fillId="0" borderId="24" xfId="0" applyFont="1" applyBorder="1" applyAlignment="1">
      <alignment/>
    </xf>
    <xf numFmtId="0" fontId="0" fillId="0" borderId="27" xfId="0" applyBorder="1" applyAlignment="1">
      <alignment/>
    </xf>
    <xf numFmtId="0" fontId="0" fillId="0" borderId="25" xfId="0" applyBorder="1" applyAlignment="1">
      <alignment/>
    </xf>
    <xf numFmtId="1" fontId="0" fillId="0" borderId="26" xfId="0" applyNumberFormat="1" applyBorder="1" applyAlignment="1">
      <alignment/>
    </xf>
    <xf numFmtId="1" fontId="0" fillId="0" borderId="0" xfId="0" applyNumberFormat="1" applyBorder="1" applyAlignment="1">
      <alignment/>
    </xf>
    <xf numFmtId="0" fontId="0" fillId="0" borderId="0" xfId="0" applyBorder="1" applyAlignment="1">
      <alignment/>
    </xf>
    <xf numFmtId="0" fontId="0" fillId="0" borderId="28" xfId="0" applyBorder="1" applyAlignment="1">
      <alignment/>
    </xf>
    <xf numFmtId="0" fontId="40" fillId="0" borderId="26" xfId="0" applyFont="1" applyBorder="1" applyAlignment="1">
      <alignment/>
    </xf>
    <xf numFmtId="0" fontId="40" fillId="0" borderId="0" xfId="0" applyFont="1" applyBorder="1" applyAlignment="1">
      <alignment/>
    </xf>
    <xf numFmtId="0" fontId="0" fillId="0" borderId="26" xfId="0" applyBorder="1" applyAlignment="1">
      <alignment/>
    </xf>
    <xf numFmtId="43" fontId="0" fillId="0" borderId="0" xfId="137" applyFont="1" applyBorder="1" applyAlignment="1">
      <alignment/>
    </xf>
    <xf numFmtId="14" fontId="0" fillId="0" borderId="0" xfId="0" applyNumberFormat="1" applyBorder="1" applyAlignment="1">
      <alignment/>
    </xf>
    <xf numFmtId="184" fontId="0" fillId="0" borderId="0" xfId="0" applyNumberFormat="1" applyBorder="1" applyAlignment="1">
      <alignment/>
    </xf>
    <xf numFmtId="43" fontId="0" fillId="0" borderId="0" xfId="0" applyNumberFormat="1" applyBorder="1" applyAlignment="1">
      <alignment/>
    </xf>
    <xf numFmtId="43" fontId="0" fillId="0" borderId="28" xfId="0" applyNumberFormat="1" applyBorder="1" applyAlignment="1">
      <alignment/>
    </xf>
    <xf numFmtId="0" fontId="0" fillId="0" borderId="29" xfId="0" applyBorder="1" applyAlignment="1">
      <alignment/>
    </xf>
    <xf numFmtId="0" fontId="0" fillId="0" borderId="30" xfId="0" applyBorder="1" applyAlignment="1">
      <alignment/>
    </xf>
    <xf numFmtId="0" fontId="0" fillId="0" borderId="23" xfId="0" applyBorder="1" applyAlignment="1">
      <alignment/>
    </xf>
    <xf numFmtId="1" fontId="0" fillId="0" borderId="31" xfId="191" applyNumberFormat="1" applyFont="1" applyFill="1" applyBorder="1">
      <alignment/>
      <protection/>
    </xf>
    <xf numFmtId="43" fontId="0" fillId="0" borderId="0" xfId="0" applyNumberFormat="1" applyFill="1" applyAlignment="1">
      <alignment/>
    </xf>
    <xf numFmtId="0" fontId="40" fillId="0" borderId="0" xfId="0" applyFont="1" applyAlignment="1">
      <alignment horizontal="center"/>
    </xf>
    <xf numFmtId="0" fontId="46" fillId="0" borderId="0" xfId="0" applyFont="1" applyAlignment="1">
      <alignment/>
    </xf>
    <xf numFmtId="44" fontId="0" fillId="60" borderId="0" xfId="0" applyNumberFormat="1" applyFill="1" applyAlignment="1">
      <alignment/>
    </xf>
    <xf numFmtId="14" fontId="0" fillId="49" borderId="0" xfId="0" applyNumberFormat="1" applyFill="1" applyAlignment="1">
      <alignment/>
    </xf>
    <xf numFmtId="14" fontId="0" fillId="0" borderId="0" xfId="0" applyNumberFormat="1" applyFill="1" applyAlignment="1">
      <alignment/>
    </xf>
    <xf numFmtId="0" fontId="38" fillId="0" borderId="0" xfId="0" applyFont="1" applyFill="1" applyAlignment="1">
      <alignment/>
    </xf>
    <xf numFmtId="4" fontId="38" fillId="0" borderId="11" xfId="0" applyNumberFormat="1" applyFont="1" applyFill="1" applyBorder="1" applyAlignment="1">
      <alignment horizontal="right" vertical="top" wrapText="1"/>
    </xf>
    <xf numFmtId="0" fontId="73" fillId="63" borderId="32" xfId="0" applyFont="1" applyFill="1" applyBorder="1" applyAlignment="1" applyProtection="1">
      <alignment horizontal="center" shrinkToFit="1"/>
      <protection hidden="1"/>
    </xf>
    <xf numFmtId="0" fontId="73" fillId="63" borderId="24" xfId="0" applyFont="1" applyFill="1" applyBorder="1" applyAlignment="1" applyProtection="1">
      <alignment horizontal="center" shrinkToFit="1"/>
      <protection hidden="1"/>
    </xf>
    <xf numFmtId="0" fontId="73" fillId="63" borderId="18" xfId="0" applyFont="1" applyFill="1" applyBorder="1" applyAlignment="1" applyProtection="1">
      <alignment horizontal="center" shrinkToFit="1"/>
      <protection hidden="1"/>
    </xf>
    <xf numFmtId="0" fontId="73" fillId="63" borderId="27" xfId="0" applyFont="1" applyFill="1" applyBorder="1" applyAlignment="1" applyProtection="1">
      <alignment horizontal="center" shrinkToFit="1"/>
      <protection hidden="1"/>
    </xf>
    <xf numFmtId="185" fontId="73" fillId="63" borderId="18" xfId="120" applyFont="1" applyFill="1" applyBorder="1" applyAlignment="1" applyProtection="1">
      <alignment horizontal="center" shrinkToFit="1"/>
      <protection hidden="1"/>
    </xf>
    <xf numFmtId="176" fontId="73" fillId="63" borderId="1" xfId="177" applyNumberFormat="1" applyFont="1" applyFill="1" applyBorder="1" applyAlignment="1" applyProtection="1">
      <alignment horizontal="center" shrinkToFit="1"/>
      <protection hidden="1"/>
    </xf>
    <xf numFmtId="185" fontId="73" fillId="63" borderId="1" xfId="120" applyFont="1" applyFill="1" applyBorder="1" applyAlignment="1" applyProtection="1">
      <alignment horizontal="center" shrinkToFit="1"/>
      <protection hidden="1"/>
    </xf>
    <xf numFmtId="0" fontId="73" fillId="63" borderId="33" xfId="0" applyFont="1" applyFill="1" applyBorder="1" applyAlignment="1" applyProtection="1">
      <alignment horizontal="center" shrinkToFit="1"/>
      <protection hidden="1"/>
    </xf>
    <xf numFmtId="0" fontId="73" fillId="63" borderId="26" xfId="0" applyFont="1" applyFill="1" applyBorder="1" applyAlignment="1" applyProtection="1">
      <alignment horizontal="center" shrinkToFit="1"/>
      <protection hidden="1"/>
    </xf>
    <xf numFmtId="0" fontId="73" fillId="63" borderId="34" xfId="0" applyFont="1" applyFill="1" applyBorder="1" applyAlignment="1" applyProtection="1">
      <alignment horizontal="center" shrinkToFit="1"/>
      <protection hidden="1"/>
    </xf>
    <xf numFmtId="0" fontId="73" fillId="63" borderId="0" xfId="0" applyFont="1" applyFill="1" applyBorder="1" applyAlignment="1" applyProtection="1">
      <alignment horizontal="center" shrinkToFit="1"/>
      <protection hidden="1"/>
    </xf>
    <xf numFmtId="185" fontId="73" fillId="63" borderId="34" xfId="120" applyFont="1" applyFill="1" applyBorder="1" applyAlignment="1" applyProtection="1">
      <alignment horizontal="center" shrinkToFit="1"/>
      <protection hidden="1"/>
    </xf>
    <xf numFmtId="43" fontId="73" fillId="63" borderId="34" xfId="139" applyFont="1" applyFill="1" applyBorder="1" applyAlignment="1" applyProtection="1">
      <alignment horizontal="center" shrinkToFit="1"/>
      <protection hidden="1"/>
    </xf>
    <xf numFmtId="176" fontId="73" fillId="63" borderId="18" xfId="177" applyNumberFormat="1" applyFont="1" applyFill="1" applyBorder="1" applyAlignment="1" applyProtection="1">
      <alignment horizontal="center" shrinkToFit="1"/>
      <protection hidden="1"/>
    </xf>
    <xf numFmtId="14" fontId="73" fillId="63" borderId="35" xfId="0" applyNumberFormat="1" applyFont="1" applyFill="1" applyBorder="1" applyAlignment="1" applyProtection="1">
      <alignment horizontal="left"/>
      <protection hidden="1"/>
    </xf>
    <xf numFmtId="185" fontId="73" fillId="63" borderId="36" xfId="120" applyFont="1" applyFill="1" applyBorder="1" applyAlignment="1" applyProtection="1">
      <alignment horizontal="left"/>
      <protection hidden="1"/>
    </xf>
    <xf numFmtId="43" fontId="73" fillId="63" borderId="36" xfId="177" applyNumberFormat="1" applyFont="1" applyFill="1" applyBorder="1" applyAlignment="1" applyProtection="1">
      <alignment horizontal="left"/>
      <protection hidden="1"/>
    </xf>
    <xf numFmtId="43" fontId="73" fillId="63" borderId="37" xfId="177" applyNumberFormat="1" applyFont="1" applyFill="1" applyBorder="1" applyAlignment="1" applyProtection="1">
      <alignment horizontal="left"/>
      <protection hidden="1"/>
    </xf>
    <xf numFmtId="10" fontId="73" fillId="63" borderId="37" xfId="177" applyNumberFormat="1" applyFont="1" applyFill="1" applyBorder="1" applyAlignment="1" applyProtection="1">
      <alignment horizontal="left"/>
      <protection hidden="1"/>
    </xf>
    <xf numFmtId="10" fontId="73" fillId="63" borderId="1" xfId="177" applyNumberFormat="1" applyFont="1" applyFill="1" applyBorder="1" applyAlignment="1" applyProtection="1">
      <alignment horizontal="left"/>
      <protection hidden="1"/>
    </xf>
    <xf numFmtId="0" fontId="38" fillId="0" borderId="1" xfId="0" applyFont="1" applyFill="1" applyBorder="1" applyAlignment="1" applyProtection="1">
      <alignment horizontal="center"/>
      <protection hidden="1"/>
    </xf>
    <xf numFmtId="0" fontId="38" fillId="0" borderId="1" xfId="0" applyFont="1" applyFill="1" applyBorder="1" applyAlignment="1" applyProtection="1">
      <alignment horizontal="center" wrapText="1"/>
      <protection hidden="1"/>
    </xf>
    <xf numFmtId="180" fontId="59" fillId="0" borderId="0" xfId="0" applyNumberFormat="1" applyFont="1" applyFill="1" applyAlignment="1">
      <alignment/>
    </xf>
    <xf numFmtId="0" fontId="59" fillId="0" borderId="0" xfId="0" applyFont="1" applyFill="1" applyAlignment="1">
      <alignment/>
    </xf>
  </cellXfs>
  <cellStyles count="31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erekening" xfId="111"/>
    <cellStyle name="Berekening 2" xfId="112"/>
    <cellStyle name="Berekening 3" xfId="113"/>
    <cellStyle name="Controlecel" xfId="114"/>
    <cellStyle name="Controlecel 2" xfId="115"/>
    <cellStyle name="Controlecel 3" xfId="116"/>
    <cellStyle name="Controlecel 4" xfId="117"/>
    <cellStyle name="Custom - Opmaakprofiel8" xfId="118"/>
    <cellStyle name="Data   - Opmaakprofiel2" xfId="119"/>
    <cellStyle name="Euro" xfId="120"/>
    <cellStyle name="Gekoppelde cel" xfId="121"/>
    <cellStyle name="Gekoppelde cel 2" xfId="122"/>
    <cellStyle name="Gekoppelde cel 3" xfId="123"/>
    <cellStyle name="Followed Hyperlink" xfId="124"/>
    <cellStyle name="Goed" xfId="125"/>
    <cellStyle name="Goed 2" xfId="126"/>
    <cellStyle name="Goed 3" xfId="127"/>
    <cellStyle name="Hyperlink" xfId="128"/>
    <cellStyle name="Hyperlink 2" xfId="129"/>
    <cellStyle name="Hyperlink 3" xfId="130"/>
    <cellStyle name="Hyperlink 4" xfId="131"/>
    <cellStyle name="Hyperlink 5" xfId="132"/>
    <cellStyle name="Invoer" xfId="133"/>
    <cellStyle name="Invoer 2" xfId="134"/>
    <cellStyle name="Invoer 3" xfId="135"/>
    <cellStyle name="Invoer 4" xfId="136"/>
    <cellStyle name="Comma" xfId="137"/>
    <cellStyle name="Comma [0]" xfId="138"/>
    <cellStyle name="Komma 2" xfId="139"/>
    <cellStyle name="Komma 2 2" xfId="140"/>
    <cellStyle name="Komma 2 2 2" xfId="141"/>
    <cellStyle name="Komma 2 2 2 2" xfId="142"/>
    <cellStyle name="Komma 2 2 3" xfId="143"/>
    <cellStyle name="Komma 2 2 4" xfId="144"/>
    <cellStyle name="Komma 2 2 5" xfId="145"/>
    <cellStyle name="Komma 2 2 6" xfId="146"/>
    <cellStyle name="Komma 2 3" xfId="147"/>
    <cellStyle name="Komma 2 3 2" xfId="148"/>
    <cellStyle name="Komma 2 4" xfId="149"/>
    <cellStyle name="Komma 2 4 2" xfId="150"/>
    <cellStyle name="Komma 2 5" xfId="151"/>
    <cellStyle name="Komma 2 5 2" xfId="152"/>
    <cellStyle name="Komma 2 6" xfId="153"/>
    <cellStyle name="Komma 2 7" xfId="154"/>
    <cellStyle name="Komma 2 8" xfId="155"/>
    <cellStyle name="Komma 2 9" xfId="156"/>
    <cellStyle name="Kop 1" xfId="157"/>
    <cellStyle name="Kop 1 2" xfId="158"/>
    <cellStyle name="Kop 2" xfId="159"/>
    <cellStyle name="Kop 2 2" xfId="160"/>
    <cellStyle name="Kop 3" xfId="161"/>
    <cellStyle name="Kop 3 2" xfId="162"/>
    <cellStyle name="Kop 4" xfId="163"/>
    <cellStyle name="Kop 4 2" xfId="164"/>
    <cellStyle name="Labels - Opmaakprofiel3" xfId="165"/>
    <cellStyle name="Neutraal" xfId="166"/>
    <cellStyle name="Neutraal 2" xfId="167"/>
    <cellStyle name="Neutraal 3" xfId="168"/>
    <cellStyle name="Notitie" xfId="169"/>
    <cellStyle name="Notitie 2" xfId="170"/>
    <cellStyle name="Notitie 3" xfId="171"/>
    <cellStyle name="Ongeldig" xfId="172"/>
    <cellStyle name="Ongeldig 2" xfId="173"/>
    <cellStyle name="Ongeldig 3" xfId="174"/>
    <cellStyle name="Ongeldig 4" xfId="175"/>
    <cellStyle name="Percent" xfId="176"/>
    <cellStyle name="Procent 2" xfId="177"/>
    <cellStyle name="Procent 2 2" xfId="178"/>
    <cellStyle name="Procent 2 2 2" xfId="179"/>
    <cellStyle name="Procent 3" xfId="180"/>
    <cellStyle name="Reset  - Opmaakprofiel7" xfId="181"/>
    <cellStyle name="Standaard 10" xfId="182"/>
    <cellStyle name="Standaard 10 10 2 2" xfId="183"/>
    <cellStyle name="Standaard 10 2" xfId="184"/>
    <cellStyle name="Standaard 11" xfId="185"/>
    <cellStyle name="Standaard 12" xfId="186"/>
    <cellStyle name="Standaard 13" xfId="187"/>
    <cellStyle name="Standaard 14" xfId="188"/>
    <cellStyle name="Standaard 15" xfId="189"/>
    <cellStyle name="Standaard 16" xfId="190"/>
    <cellStyle name="Standaard 2" xfId="191"/>
    <cellStyle name="Standaard 2 2" xfId="192"/>
    <cellStyle name="Standaard 2 3" xfId="193"/>
    <cellStyle name="Standaard 2 3 10" xfId="194"/>
    <cellStyle name="Standaard 2 3 11" xfId="195"/>
    <cellStyle name="Standaard 2 3 2" xfId="196"/>
    <cellStyle name="Standaard 2 3 2 2" xfId="197"/>
    <cellStyle name="Standaard 2 3 2 2 2" xfId="198"/>
    <cellStyle name="Standaard 2 3 2 3" xfId="199"/>
    <cellStyle name="Standaard 2 3 3" xfId="200"/>
    <cellStyle name="Standaard 2 3 3 2" xfId="201"/>
    <cellStyle name="Standaard 2 3 3 2 2" xfId="202"/>
    <cellStyle name="Standaard 2 3 3 3" xfId="203"/>
    <cellStyle name="Standaard 2 3 4" xfId="204"/>
    <cellStyle name="Standaard 2 3 4 2" xfId="205"/>
    <cellStyle name="Standaard 2 3 5" xfId="206"/>
    <cellStyle name="Standaard 2 3 5 2" xfId="207"/>
    <cellStyle name="Standaard 2 3 6" xfId="208"/>
    <cellStyle name="Standaard 2 3 6 2" xfId="209"/>
    <cellStyle name="Standaard 2 3 7" xfId="210"/>
    <cellStyle name="Standaard 2 3 7 2" xfId="211"/>
    <cellStyle name="Standaard 2 3 8" xfId="212"/>
    <cellStyle name="Standaard 2 3 9" xfId="213"/>
    <cellStyle name="Standaard 2 4" xfId="214"/>
    <cellStyle name="Standaard 2 4 2" xfId="215"/>
    <cellStyle name="Standaard 2 4 3" xfId="216"/>
    <cellStyle name="Standaard 2 5" xfId="217"/>
    <cellStyle name="Standaard 2 5 2" xfId="218"/>
    <cellStyle name="Standaard 2 5 3" xfId="219"/>
    <cellStyle name="Standaard 2 6" xfId="220"/>
    <cellStyle name="Standaard 20" xfId="221"/>
    <cellStyle name="Standaard 24" xfId="222"/>
    <cellStyle name="Standaard 25" xfId="223"/>
    <cellStyle name="Standaard 3" xfId="224"/>
    <cellStyle name="Standaard 3 2" xfId="225"/>
    <cellStyle name="Standaard 3 2 2" xfId="226"/>
    <cellStyle name="Standaard 3 2 3" xfId="227"/>
    <cellStyle name="Standaard 3 2 3 2" xfId="228"/>
    <cellStyle name="Standaard 3 2 3 2 2" xfId="229"/>
    <cellStyle name="Standaard 3 2 3 3" xfId="230"/>
    <cellStyle name="Standaard 3 2 4" xfId="231"/>
    <cellStyle name="Standaard 3 2 4 2" xfId="232"/>
    <cellStyle name="Standaard 3 2 5" xfId="233"/>
    <cellStyle name="Standaard 3 3" xfId="234"/>
    <cellStyle name="Standaard 3 3 2" xfId="235"/>
    <cellStyle name="Standaard 3 3 3" xfId="236"/>
    <cellStyle name="Standaard 3 4" xfId="237"/>
    <cellStyle name="Standaard 3 4 2" xfId="238"/>
    <cellStyle name="Standaard 3 4 2 2" xfId="239"/>
    <cellStyle name="Standaard 3 4 3" xfId="240"/>
    <cellStyle name="Standaard 3 5" xfId="241"/>
    <cellStyle name="Standaard 3 6" xfId="242"/>
    <cellStyle name="Standaard 3 6 2" xfId="243"/>
    <cellStyle name="Standaard 3 7" xfId="244"/>
    <cellStyle name="Standaard 3 8" xfId="245"/>
    <cellStyle name="Standaard 4" xfId="246"/>
    <cellStyle name="Standaard 4 10" xfId="247"/>
    <cellStyle name="Standaard 4 2" xfId="248"/>
    <cellStyle name="Standaard 4 2 2" xfId="249"/>
    <cellStyle name="Standaard 4 2 2 2" xfId="250"/>
    <cellStyle name="Standaard 4 2 3" xfId="251"/>
    <cellStyle name="Standaard 4 3" xfId="252"/>
    <cellStyle name="Standaard 4 3 2" xfId="253"/>
    <cellStyle name="Standaard 4 3 2 2" xfId="254"/>
    <cellStyle name="Standaard 4 3 3" xfId="255"/>
    <cellStyle name="Standaard 4 4" xfId="256"/>
    <cellStyle name="Standaard 4 4 2" xfId="257"/>
    <cellStyle name="Standaard 4 4 2 2" xfId="258"/>
    <cellStyle name="Standaard 4 4 3" xfId="259"/>
    <cellStyle name="Standaard 4 5" xfId="260"/>
    <cellStyle name="Standaard 4 5 2" xfId="261"/>
    <cellStyle name="Standaard 4 6" xfId="262"/>
    <cellStyle name="Standaard 4 6 2" xfId="263"/>
    <cellStyle name="Standaard 4 7" xfId="264"/>
    <cellStyle name="Standaard 4 7 2" xfId="265"/>
    <cellStyle name="Standaard 4 8" xfId="266"/>
    <cellStyle name="Standaard 4 9" xfId="267"/>
    <cellStyle name="Standaard 5" xfId="268"/>
    <cellStyle name="Standaard 5 10" xfId="269"/>
    <cellStyle name="Standaard 5 11" xfId="270"/>
    <cellStyle name="Standaard 5 12" xfId="271"/>
    <cellStyle name="Standaard 5 2" xfId="272"/>
    <cellStyle name="Standaard 5 2 2" xfId="273"/>
    <cellStyle name="Standaard 5 3" xfId="274"/>
    <cellStyle name="Standaard 5 3 2" xfId="275"/>
    <cellStyle name="Standaard 5 3 3" xfId="276"/>
    <cellStyle name="Standaard 5 3 3 2" xfId="277"/>
    <cellStyle name="Standaard 5 3 4" xfId="278"/>
    <cellStyle name="Standaard 5 4" xfId="279"/>
    <cellStyle name="Standaard 5 4 2" xfId="280"/>
    <cellStyle name="Standaard 5 4 2 2" xfId="281"/>
    <cellStyle name="Standaard 5 4 3" xfId="282"/>
    <cellStyle name="Standaard 5 5" xfId="283"/>
    <cellStyle name="Standaard 5 5 2" xfId="284"/>
    <cellStyle name="Standaard 5 5 2 2" xfId="285"/>
    <cellStyle name="Standaard 5 5 3" xfId="286"/>
    <cellStyle name="Standaard 5 6" xfId="287"/>
    <cellStyle name="Standaard 5 6 2" xfId="288"/>
    <cellStyle name="Standaard 5 7" xfId="289"/>
    <cellStyle name="Standaard 5 7 2" xfId="290"/>
    <cellStyle name="Standaard 5 8" xfId="291"/>
    <cellStyle name="Standaard 5 8 2" xfId="292"/>
    <cellStyle name="Standaard 5 9" xfId="293"/>
    <cellStyle name="Standaard 6" xfId="294"/>
    <cellStyle name="Standaard 7" xfId="295"/>
    <cellStyle name="Standaard 7 2" xfId="296"/>
    <cellStyle name="Standaard 8" xfId="297"/>
    <cellStyle name="Standaard 8 2" xfId="298"/>
    <cellStyle name="Standaard 8 3" xfId="299"/>
    <cellStyle name="Standaard 8 3 2" xfId="300"/>
    <cellStyle name="Standaard 8 4" xfId="301"/>
    <cellStyle name="Standaard 8 5" xfId="302"/>
    <cellStyle name="Standaard 9" xfId="303"/>
    <cellStyle name="Standaard 9 2" xfId="304"/>
    <cellStyle name="Table  - Opmaakprofiel6" xfId="305"/>
    <cellStyle name="Titel" xfId="306"/>
    <cellStyle name="Titel 2" xfId="307"/>
    <cellStyle name="Title  - Opmaakprofiel1" xfId="308"/>
    <cellStyle name="Totaal" xfId="309"/>
    <cellStyle name="Totaal 2" xfId="310"/>
    <cellStyle name="Totaal 3" xfId="311"/>
    <cellStyle name="TotCol - Opmaakprofiel5" xfId="312"/>
    <cellStyle name="TotRow - Opmaakprofiel4" xfId="313"/>
    <cellStyle name="Uitvoer" xfId="314"/>
    <cellStyle name="Uitvoer 2" xfId="315"/>
    <cellStyle name="Uitvoer 3" xfId="316"/>
    <cellStyle name="Uitvoer 4" xfId="317"/>
    <cellStyle name="Currency" xfId="318"/>
    <cellStyle name="Currency [0]" xfId="319"/>
    <cellStyle name="Valuta 2" xfId="320"/>
    <cellStyle name="Verklarende tekst" xfId="321"/>
    <cellStyle name="Verklarende tekst 2" xfId="322"/>
    <cellStyle name="Verklarende tekst 3" xfId="323"/>
    <cellStyle name="Verklarende tekst 4" xfId="324"/>
    <cellStyle name="Waarschuwingstekst" xfId="325"/>
    <cellStyle name="Waarschuwingstekst 2" xfId="326"/>
    <cellStyle name="Waarschuwingstekst 3" xfId="3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NResources.local\GROUPS\011256\Actuarial%20Support%20CP\Schaduwrekenboxen\SRB_MSG\TO_Werkzaamheden\Tariefstaten\NNCP_Tarief_D02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Klanten\F\F5%20Projectengroep%20(Grasso)\Eblinc\berekeningssheet_interpolatie_leeftijd_PP_WzP_F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ofdblad"/>
      <sheetName val="Werkblad"/>
      <sheetName val="Tarief_Voorbeeld"/>
      <sheetName val="ActRunLog"/>
      <sheetName val="Tafels"/>
      <sheetName val="Lft_corr"/>
      <sheetName val="Freqs"/>
      <sheetName val="Parameters"/>
    </sheetNames>
    <sheetDataSet>
      <sheetData sheetId="0">
        <row r="1">
          <cell r="M1" t="str">
            <v>1: Stortings-/Risicokoopsom</v>
          </cell>
        </row>
        <row r="2">
          <cell r="M2" t="str">
            <v>2: Bruto- / Risicokoopsom</v>
          </cell>
        </row>
        <row r="3">
          <cell r="M3" t="str">
            <v>3: NKBO</v>
          </cell>
        </row>
        <row r="4">
          <cell r="M4" t="str">
            <v>4: Nettokoopsom</v>
          </cell>
        </row>
        <row r="5">
          <cell r="C5" t="str">
            <v>Comfortpensioen</v>
          </cell>
        </row>
      </sheetData>
      <sheetData sheetId="7">
        <row r="14">
          <cell r="B14" t="str">
            <v>COLL2013</v>
          </cell>
        </row>
        <row r="15">
          <cell r="B15" t="str">
            <v>COLL2011</v>
          </cell>
        </row>
        <row r="16">
          <cell r="B16" t="str">
            <v>COLL2009+</v>
          </cell>
        </row>
        <row r="17">
          <cell r="B17" t="str">
            <v>COLL2009</v>
          </cell>
        </row>
        <row r="18">
          <cell r="B18" t="str">
            <v>COLL2003</v>
          </cell>
        </row>
        <row r="19">
          <cell r="B19" t="str">
            <v>COLL1993</v>
          </cell>
        </row>
        <row r="20">
          <cell r="B20" t="str">
            <v>COLL1993OTS</v>
          </cell>
        </row>
        <row r="21">
          <cell r="B21" t="str">
            <v>CONV70</v>
          </cell>
        </row>
        <row r="22">
          <cell r="B22" t="str">
            <v>NORM70</v>
          </cell>
        </row>
        <row r="23">
          <cell r="B23" t="str">
            <v>CONV84</v>
          </cell>
        </row>
        <row r="24">
          <cell r="B24" t="str">
            <v>NORM84</v>
          </cell>
        </row>
        <row r="25">
          <cell r="B25" t="str">
            <v>GB8085</v>
          </cell>
        </row>
        <row r="26">
          <cell r="B26" t="str">
            <v>GB8590</v>
          </cell>
        </row>
        <row r="27">
          <cell r="B27" t="str">
            <v>GB9095</v>
          </cell>
        </row>
        <row r="28">
          <cell r="B28" t="str">
            <v>GB9500</v>
          </cell>
        </row>
        <row r="29">
          <cell r="B29" t="str">
            <v>GB0005</v>
          </cell>
        </row>
        <row r="30">
          <cell r="B30" t="str">
            <v>GB0510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PUT"/>
      <sheetName val="INPUT"/>
      <sheetName val="ber premie"/>
      <sheetName val="reken PPWz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1">
      <selection activeCell="K2" sqref="K2"/>
    </sheetView>
  </sheetViews>
  <sheetFormatPr defaultColWidth="9.140625" defaultRowHeight="12.75"/>
  <cols>
    <col min="1" max="1" width="11.421875" style="57" customWidth="1"/>
    <col min="2" max="3" width="9.140625" style="57" customWidth="1"/>
    <col min="4" max="5" width="16.8515625" style="57" customWidth="1"/>
    <col min="6" max="6" width="13.7109375" style="57" customWidth="1"/>
    <col min="7" max="7" width="21.57421875" style="57" customWidth="1"/>
    <col min="8" max="8" width="14.28125" style="57" customWidth="1"/>
    <col min="9" max="10" width="14.421875" style="57" customWidth="1"/>
    <col min="11" max="11" width="29.7109375" style="57" customWidth="1"/>
    <col min="12" max="12" width="19.7109375" style="57" bestFit="1" customWidth="1"/>
    <col min="13" max="18" width="16.28125" style="57" customWidth="1"/>
    <col min="19" max="19" width="20.57421875" style="57" customWidth="1"/>
    <col min="20" max="16384" width="9.140625" style="57" customWidth="1"/>
  </cols>
  <sheetData>
    <row r="1" spans="1:19" ht="12.75">
      <c r="A1" s="57" t="s">
        <v>305</v>
      </c>
      <c r="B1" s="57" t="s">
        <v>345</v>
      </c>
      <c r="C1" s="57" t="s">
        <v>156</v>
      </c>
      <c r="D1" s="57" t="s">
        <v>212</v>
      </c>
      <c r="E1" s="57" t="s">
        <v>339</v>
      </c>
      <c r="F1" s="57" t="s">
        <v>237</v>
      </c>
      <c r="G1" s="57" t="s">
        <v>53</v>
      </c>
      <c r="H1" s="57" t="s">
        <v>134</v>
      </c>
      <c r="I1" s="57" t="s">
        <v>75</v>
      </c>
      <c r="J1" s="57" t="s">
        <v>84</v>
      </c>
      <c r="K1" s="57" t="s">
        <v>179</v>
      </c>
      <c r="L1" s="57" t="s">
        <v>21</v>
      </c>
      <c r="M1" s="57" t="s">
        <v>267</v>
      </c>
      <c r="N1" s="57" t="s">
        <v>18</v>
      </c>
      <c r="O1" s="57" t="s">
        <v>245</v>
      </c>
      <c r="P1" s="57" t="s">
        <v>203</v>
      </c>
      <c r="Q1" s="57" t="s">
        <v>269</v>
      </c>
      <c r="R1" s="57" t="s">
        <v>146</v>
      </c>
      <c r="S1" s="57" t="s">
        <v>280</v>
      </c>
    </row>
    <row r="2" spans="1:19" ht="12.75">
      <c r="A2" s="57">
        <f>input_fulltime_salaris</f>
        <v>68739.84</v>
      </c>
      <c r="B2" s="57">
        <f>input_franchise</f>
        <v>0</v>
      </c>
      <c r="C2" s="57">
        <f>input_franchise_np</f>
        <v>0</v>
      </c>
      <c r="D2" s="57">
        <f>'Bereken OP|PP|WzP'!K7</f>
        <v>45858</v>
      </c>
      <c r="E2" s="57">
        <v>0</v>
      </c>
      <c r="G2" s="57">
        <f>'Bereken OP|PP|WzP'!I13</f>
        <v>107406</v>
      </c>
      <c r="J2" s="57">
        <f>'Berekenen premies'!F11</f>
        <v>13546.7398125</v>
      </c>
      <c r="K2" s="57">
        <f>'Bereken OP|PP|WzP'!C39</f>
        <v>11716.6948125</v>
      </c>
      <c r="L2" s="57">
        <f>'Bereken OP|PP|WzP'!C36</f>
        <v>1830.045</v>
      </c>
      <c r="M2" s="57">
        <f>'Berekenen premies'!F17</f>
        <v>0</v>
      </c>
      <c r="N2" s="57">
        <f>'Berekenen premies'!F17</f>
        <v>0</v>
      </c>
      <c r="O2" s="57">
        <f>output_premie_pj_np*0</f>
        <v>0</v>
      </c>
      <c r="P2" s="57">
        <f>'Berekenen premies'!F24</f>
        <v>0</v>
      </c>
      <c r="Q2" s="57">
        <f>1*output_premie_pj_wzp</f>
        <v>0</v>
      </c>
      <c r="R2" s="57">
        <f>0*output_premie_pj_wzp</f>
        <v>0</v>
      </c>
      <c r="S2" s="67"/>
    </row>
    <row r="24" ht="12.75">
      <c r="M24" s="156"/>
    </row>
  </sheetData>
  <sheetProtection/>
  <printOptions/>
  <pageMargins left="0.7" right="0.7" top="0.75" bottom="0.75" header="0.3" footer="0.3"/>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U6"/>
  <sheetViews>
    <sheetView zoomScalePageLayoutView="0" workbookViewId="0" topLeftCell="N1">
      <selection activeCell="GX2" sqref="GX2"/>
    </sheetView>
  </sheetViews>
  <sheetFormatPr defaultColWidth="27.00390625" defaultRowHeight="12.75"/>
  <cols>
    <col min="1" max="2" width="11.7109375" style="0" hidden="1" customWidth="1"/>
    <col min="3" max="3" width="17.57421875" style="0" hidden="1" customWidth="1"/>
    <col min="4" max="4" width="16.00390625" style="0" hidden="1" customWidth="1"/>
    <col min="5" max="5" width="14.8515625" style="0" hidden="1" customWidth="1"/>
    <col min="6" max="6" width="12.140625" style="0" hidden="1" customWidth="1"/>
    <col min="7" max="7" width="16.421875" style="0" hidden="1" customWidth="1"/>
    <col min="8" max="8" width="19.57421875" style="0" hidden="1" customWidth="1"/>
    <col min="9" max="9" width="16.8515625" style="0" hidden="1" customWidth="1"/>
    <col min="10" max="10" width="20.57421875" style="0" hidden="1" customWidth="1"/>
    <col min="11" max="11" width="16.421875" style="0" hidden="1" customWidth="1"/>
    <col min="12" max="12" width="13.57421875" style="0" hidden="1" customWidth="1"/>
    <col min="13" max="13" width="11.57421875" style="0" hidden="1" customWidth="1"/>
    <col min="14" max="14" width="10.140625" style="0" customWidth="1"/>
    <col min="15" max="15" width="11.140625" style="0" customWidth="1"/>
    <col min="16" max="16" width="13.28125" style="0" bestFit="1" customWidth="1"/>
    <col min="17" max="17" width="11.7109375" style="0" customWidth="1"/>
    <col min="18" max="18" width="8.57421875" style="0" customWidth="1"/>
    <col min="19" max="19" width="15.28125" style="0" customWidth="1"/>
    <col min="20" max="20" width="12.28125" style="0" hidden="1" customWidth="1"/>
    <col min="21" max="21" width="6.140625" style="0" hidden="1" customWidth="1"/>
    <col min="22" max="22" width="12.421875" style="0" hidden="1" customWidth="1"/>
    <col min="23" max="23" width="11.28125" style="0" hidden="1" customWidth="1"/>
    <col min="24" max="24" width="9.140625" style="0" hidden="1" customWidth="1"/>
    <col min="25" max="26" width="6.28125" style="0" hidden="1" customWidth="1"/>
    <col min="27" max="27" width="14.57421875" style="0" hidden="1" customWidth="1"/>
    <col min="28" max="28" width="19.140625" style="0" bestFit="1" customWidth="1"/>
    <col min="29" max="29" width="9.00390625" style="0" bestFit="1" customWidth="1"/>
    <col min="30" max="30" width="10.57421875" style="0" bestFit="1" customWidth="1"/>
    <col min="31" max="31" width="12.57421875" style="0" bestFit="1" customWidth="1"/>
    <col min="32" max="32" width="10.421875" style="0" bestFit="1" customWidth="1"/>
    <col min="33" max="33" width="5.28125" style="0" bestFit="1" customWidth="1"/>
    <col min="34" max="34" width="14.28125" style="0" bestFit="1" customWidth="1"/>
    <col min="35" max="35" width="17.28125" style="0" bestFit="1" customWidth="1"/>
    <col min="36" max="36" width="16.28125" style="0" customWidth="1"/>
    <col min="37" max="37" width="17.00390625" style="0" customWidth="1"/>
    <col min="38" max="38" width="13.7109375" style="0" customWidth="1"/>
    <col min="39" max="39" width="20.00390625" style="0" customWidth="1"/>
    <col min="40" max="40" width="15.140625" style="0" customWidth="1"/>
    <col min="41" max="41" width="18.140625" style="0" customWidth="1"/>
    <col min="42" max="42" width="10.7109375" style="0" customWidth="1"/>
    <col min="43" max="43" width="6.421875" style="0" customWidth="1"/>
    <col min="44" max="44" width="21.00390625" style="0" customWidth="1"/>
    <col min="45" max="46" width="19.421875" style="0" customWidth="1"/>
    <col min="47" max="47" width="15.8515625" style="0" customWidth="1"/>
    <col min="48" max="48" width="17.00390625" style="0" customWidth="1"/>
    <col min="49" max="49" width="7.57421875" style="0" customWidth="1"/>
    <col min="50" max="50" width="8.57421875" style="0" customWidth="1"/>
    <col min="51" max="51" width="9.28125" style="0" customWidth="1"/>
    <col min="52" max="52" width="12.421875" style="0" customWidth="1"/>
    <col min="53" max="53" width="8.8515625" style="0" customWidth="1"/>
    <col min="54" max="54" width="19.140625" style="0" customWidth="1"/>
    <col min="55" max="55" width="18.00390625" style="0" customWidth="1"/>
    <col min="56" max="56" width="20.140625" style="0" customWidth="1"/>
    <col min="57" max="57" width="20.7109375" style="0" customWidth="1"/>
    <col min="58" max="58" width="17.00390625" style="0" customWidth="1"/>
    <col min="59" max="59" width="18.7109375" style="0" customWidth="1"/>
    <col min="60" max="60" width="17.421875" style="0" customWidth="1"/>
    <col min="61" max="61" width="20.00390625" style="0" customWidth="1"/>
    <col min="62" max="62" width="9.8515625" style="0" customWidth="1"/>
    <col min="63" max="63" width="20.57421875" style="0" customWidth="1"/>
    <col min="64" max="64" width="26.421875" style="0" customWidth="1"/>
    <col min="65" max="65" width="28.00390625" style="0" customWidth="1"/>
    <col min="66" max="66" width="33.8515625" style="0" customWidth="1"/>
    <col min="67" max="67" width="27.57421875" style="0" customWidth="1"/>
    <col min="68" max="68" width="33.28125" style="0" customWidth="1"/>
    <col min="69" max="69" width="27.140625" style="0" customWidth="1"/>
    <col min="70" max="70" width="33.421875" style="0" customWidth="1"/>
    <col min="71" max="71" width="15.140625" style="0" customWidth="1"/>
    <col min="72" max="72" width="19.7109375" style="0" customWidth="1"/>
    <col min="73" max="74" width="18.28125" style="0" customWidth="1"/>
    <col min="75" max="75" width="18.00390625" style="0" customWidth="1"/>
    <col min="76" max="76" width="19.00390625" style="0" customWidth="1"/>
    <col min="77" max="77" width="22.00390625" style="0" customWidth="1"/>
    <col min="78" max="78" width="19.57421875" style="0" customWidth="1"/>
    <col min="79" max="79" width="16.28125" style="0" customWidth="1"/>
    <col min="80" max="80" width="23.140625" style="0" customWidth="1"/>
    <col min="81" max="81" width="28.8515625" style="0" customWidth="1"/>
    <col min="82" max="84" width="29.28125" style="0" customWidth="1"/>
    <col min="85" max="85" width="33.00390625" style="0" customWidth="1"/>
    <col min="86" max="86" width="29.140625" style="0" customWidth="1"/>
    <col min="87" max="87" width="28.28125" style="0" customWidth="1"/>
    <col min="88" max="88" width="21.57421875" style="0" customWidth="1"/>
    <col min="89" max="90" width="25.140625" style="0" customWidth="1"/>
    <col min="91" max="91" width="21.7109375" style="0" customWidth="1"/>
    <col min="92" max="92" width="23.140625" style="0" customWidth="1"/>
    <col min="93" max="93" width="21.7109375" style="0" customWidth="1"/>
    <col min="94" max="94" width="20.28125" style="0" customWidth="1"/>
    <col min="95" max="95" width="15.8515625" style="0" customWidth="1"/>
    <col min="96" max="96" width="17.57421875" style="0" customWidth="1"/>
    <col min="97" max="97" width="22.00390625" style="0" customWidth="1"/>
    <col min="98" max="98" width="18.7109375" style="0" customWidth="1"/>
    <col min="99" max="99" width="19.28125" style="0" customWidth="1"/>
    <col min="100" max="100" width="21.7109375" style="0" customWidth="1"/>
    <col min="101" max="101" width="15.140625" style="0" customWidth="1"/>
    <col min="102" max="102" width="18.8515625" style="0" customWidth="1"/>
    <col min="103" max="103" width="28.7109375" style="0" customWidth="1"/>
    <col min="104" max="104" width="23.8515625" style="0" customWidth="1"/>
    <col min="105" max="105" width="23.421875" style="0" customWidth="1"/>
    <col min="106" max="106" width="21.8515625" style="0" customWidth="1"/>
    <col min="107" max="107" width="17.421875" style="0" customWidth="1"/>
    <col min="108" max="108" width="18.7109375" style="0" customWidth="1"/>
    <col min="109" max="109" width="17.421875" style="0" customWidth="1"/>
    <col min="110" max="110" width="18.7109375" style="0" customWidth="1"/>
    <col min="111" max="111" width="21.421875" style="0" customWidth="1"/>
    <col min="112" max="113" width="20.140625" style="0" customWidth="1"/>
    <col min="114" max="114" width="21.00390625" style="0" customWidth="1"/>
    <col min="115" max="115" width="21.140625" style="0" customWidth="1"/>
    <col min="116" max="116" width="21.00390625" style="0" customWidth="1"/>
    <col min="117" max="117" width="21.140625" style="0" customWidth="1"/>
    <col min="118" max="118" width="27.00390625" style="0" customWidth="1"/>
    <col min="119" max="119" width="17.57421875" style="0" customWidth="1"/>
    <col min="120" max="120" width="22.00390625" style="0" customWidth="1"/>
    <col min="121" max="121" width="18.7109375" style="0" customWidth="1"/>
    <col min="122" max="122" width="19.28125" style="0" customWidth="1"/>
    <col min="123" max="123" width="21.7109375" style="0" customWidth="1"/>
    <col min="124" max="124" width="15.140625" style="0" customWidth="1"/>
    <col min="125" max="125" width="18.8515625" style="0" customWidth="1"/>
    <col min="126" max="126" width="28.7109375" style="0" customWidth="1"/>
    <col min="127" max="127" width="23.8515625" style="0" customWidth="1"/>
    <col min="128" max="128" width="23.421875" style="0" customWidth="1"/>
    <col min="129" max="129" width="21.8515625" style="0" customWidth="1"/>
    <col min="130" max="130" width="17.421875" style="0" customWidth="1"/>
    <col min="131" max="131" width="18.7109375" style="0" customWidth="1"/>
    <col min="132" max="132" width="17.421875" style="0" customWidth="1"/>
    <col min="133" max="133" width="18.7109375" style="0" customWidth="1"/>
    <col min="134" max="134" width="21.421875" style="0" customWidth="1"/>
    <col min="135" max="136" width="20.140625" style="0" customWidth="1"/>
    <col min="137" max="137" width="21.00390625" style="0" customWidth="1"/>
    <col min="138" max="138" width="21.140625" style="0" customWidth="1"/>
    <col min="139" max="139" width="21.00390625" style="0" customWidth="1"/>
    <col min="140" max="140" width="21.140625" style="0" customWidth="1"/>
    <col min="141" max="141" width="27.00390625" style="0" customWidth="1"/>
    <col min="142" max="142" width="17.57421875" style="0" customWidth="1"/>
    <col min="143" max="143" width="22.00390625" style="0" customWidth="1"/>
    <col min="144" max="144" width="18.7109375" style="0" customWidth="1"/>
    <col min="145" max="145" width="19.28125" style="0" customWidth="1"/>
    <col min="146" max="146" width="21.7109375" style="0" customWidth="1"/>
    <col min="147" max="147" width="15.140625" style="0" customWidth="1"/>
    <col min="148" max="148" width="18.8515625" style="0" customWidth="1"/>
    <col min="149" max="149" width="28.7109375" style="0" customWidth="1"/>
    <col min="150" max="150" width="23.8515625" style="0" customWidth="1"/>
    <col min="151" max="151" width="23.421875" style="0" customWidth="1"/>
    <col min="152" max="152" width="21.8515625" style="0" customWidth="1"/>
    <col min="153" max="153" width="17.421875" style="0" customWidth="1"/>
    <col min="154" max="154" width="18.7109375" style="0" customWidth="1"/>
    <col min="155" max="155" width="17.421875" style="0" customWidth="1"/>
    <col min="156" max="156" width="18.7109375" style="0" customWidth="1"/>
    <col min="157" max="157" width="21.421875" style="0" customWidth="1"/>
    <col min="158" max="159" width="20.140625" style="0" customWidth="1"/>
    <col min="160" max="160" width="21.00390625" style="0" customWidth="1"/>
    <col min="161" max="161" width="21.140625" style="0" customWidth="1"/>
    <col min="162" max="162" width="21.00390625" style="0" customWidth="1"/>
    <col min="163" max="163" width="21.140625" style="0" customWidth="1"/>
    <col min="164" max="164" width="27.00390625" style="0" customWidth="1"/>
    <col min="165" max="165" width="15.421875" style="0" customWidth="1"/>
    <col min="166" max="166" width="19.8515625" style="0" customWidth="1"/>
    <col min="167" max="167" width="16.57421875" style="0" customWidth="1"/>
    <col min="168" max="168" width="17.28125" style="0" customWidth="1"/>
    <col min="169" max="169" width="19.57421875" style="0" customWidth="1"/>
    <col min="170" max="170" width="13.140625" style="0" customWidth="1"/>
    <col min="171" max="171" width="26.7109375" style="0" customWidth="1"/>
    <col min="172" max="172" width="21.8515625" style="0" customWidth="1"/>
    <col min="173" max="173" width="21.421875" style="0" customWidth="1"/>
    <col min="174" max="174" width="19.7109375" style="0" customWidth="1"/>
    <col min="175" max="175" width="11.7109375" style="0" customWidth="1"/>
    <col min="176" max="176" width="12.8515625" style="0" customWidth="1"/>
    <col min="177" max="177" width="19.28125" style="0" customWidth="1"/>
    <col min="178" max="178" width="14.421875" style="0" customWidth="1"/>
    <col min="179" max="179" width="15.28125" style="0" customWidth="1"/>
    <col min="180" max="180" width="15.421875" style="0" customWidth="1"/>
    <col min="181" max="181" width="19.57421875" style="0" customWidth="1"/>
    <col min="182" max="182" width="20.421875" style="0" customWidth="1"/>
    <col min="183" max="183" width="20.57421875" style="0" customWidth="1"/>
    <col min="184" max="184" width="21.00390625" style="0" customWidth="1"/>
    <col min="185" max="185" width="19.57421875" style="0" customWidth="1"/>
    <col min="186" max="186" width="22.57421875" style="0" customWidth="1"/>
    <col min="187" max="187" width="23.140625" style="0" customWidth="1"/>
    <col min="188" max="189" width="25.140625" style="0" customWidth="1"/>
    <col min="190" max="190" width="21.140625" style="0" customWidth="1"/>
    <col min="191" max="191" width="21.421875" style="0" customWidth="1"/>
    <col min="192" max="192" width="17.57421875" style="0" customWidth="1"/>
    <col min="193" max="193" width="18.28125" style="0" customWidth="1"/>
    <col min="194" max="194" width="17.28125" style="0" customWidth="1"/>
    <col min="195" max="195" width="21.7109375" style="0" customWidth="1"/>
    <col min="196" max="196" width="18.7109375" style="0" customWidth="1"/>
    <col min="197" max="197" width="19.28125" style="0" customWidth="1"/>
    <col min="198" max="198" width="21.421875" style="0" customWidth="1"/>
    <col min="199" max="199" width="11.00390625" style="0" customWidth="1"/>
    <col min="200" max="200" width="13.7109375" style="0" customWidth="1"/>
    <col min="201" max="201" width="16.421875" style="0" customWidth="1"/>
    <col min="202" max="202" width="17.421875" style="0" customWidth="1"/>
    <col min="203" max="203" width="17.57421875" style="0" customWidth="1"/>
    <col min="204" max="204" width="23.00390625" style="0" customWidth="1"/>
    <col min="205" max="205" width="27.421875" style="0" customWidth="1"/>
    <col min="206" max="206" width="24.421875" style="0" customWidth="1"/>
    <col min="207" max="207" width="25.00390625" style="0" customWidth="1"/>
    <col min="208" max="208" width="27.140625" style="0" customWidth="1"/>
    <col min="209" max="209" width="21.140625" style="0" customWidth="1"/>
    <col min="210" max="210" width="21.00390625" style="0" customWidth="1"/>
    <col min="211" max="211" width="22.28125" style="0" customWidth="1"/>
    <col min="212" max="212" width="23.140625" style="0" customWidth="1"/>
    <col min="213" max="213" width="23.28125" style="0" customWidth="1"/>
    <col min="214" max="214" width="22.7109375" style="0" customWidth="1"/>
    <col min="215" max="215" width="27.140625" style="0" customWidth="1"/>
    <col min="216" max="216" width="24.140625" style="0" customWidth="1"/>
    <col min="217" max="217" width="24.7109375" style="0" customWidth="1"/>
    <col min="218" max="218" width="27.140625" style="0" customWidth="1"/>
    <col min="219" max="219" width="16.421875" style="0" customWidth="1"/>
    <col min="220" max="220" width="22.00390625" style="0" customWidth="1"/>
    <col min="221" max="221" width="22.8515625" style="0" customWidth="1"/>
    <col min="222" max="222" width="23.00390625" style="0" customWidth="1"/>
    <col min="223" max="223" width="33.140625" style="0" customWidth="1"/>
    <col min="224" max="224" width="37.57421875" style="0" customWidth="1"/>
    <col min="225" max="225" width="21.421875" style="0" customWidth="1"/>
    <col min="226" max="226" width="32.421875" style="0" customWidth="1"/>
    <col min="227" max="227" width="33.28125" style="0" customWidth="1"/>
    <col min="228" max="228" width="33.421875" style="0" customWidth="1"/>
    <col min="229" max="229" width="29.8515625" style="0" customWidth="1"/>
    <col min="230" max="230" width="32.57421875" style="0" customWidth="1"/>
    <col min="231" max="231" width="24.28125" style="0" customWidth="1"/>
    <col min="232" max="234" width="30.28125" style="0" customWidth="1"/>
    <col min="235" max="235" width="33.140625" style="0" customWidth="1"/>
    <col min="236" max="236" width="37.57421875" style="0" customWidth="1"/>
    <col min="237" max="237" width="34.7109375" style="0" customWidth="1"/>
    <col min="238" max="238" width="35.28125" style="0" customWidth="1"/>
    <col min="239" max="239" width="37.28125" style="0" customWidth="1"/>
    <col min="240" max="240" width="32.421875" style="0" customWidth="1"/>
    <col min="241" max="241" width="33.28125" style="0" customWidth="1"/>
    <col min="242" max="242" width="33.421875" style="0" customWidth="1"/>
    <col min="243" max="243" width="31.8515625" style="0" customWidth="1"/>
    <col min="244" max="244" width="36.7109375" style="0" customWidth="1"/>
    <col min="245" max="245" width="34.8515625" style="0" customWidth="1"/>
    <col min="246" max="246" width="26.7109375" style="0" customWidth="1"/>
    <col min="247" max="247" width="31.140625" style="0" customWidth="1"/>
    <col min="248" max="248" width="28.140625" style="0" customWidth="1"/>
    <col min="249" max="249" width="28.7109375" style="0" customWidth="1"/>
    <col min="250" max="250" width="30.8515625" style="0" customWidth="1"/>
    <col min="251" max="251" width="24.421875" style="0" customWidth="1"/>
    <col min="252" max="252" width="26.00390625" style="0" customWidth="1"/>
    <col min="253" max="253" width="26.8515625" style="0" customWidth="1"/>
  </cols>
  <sheetData>
    <row r="1" spans="1:255" s="59" customFormat="1" ht="14.25">
      <c r="A1" t="s">
        <v>199</v>
      </c>
      <c r="B1" s="64" t="s">
        <v>28</v>
      </c>
      <c r="C1" t="s">
        <v>259</v>
      </c>
      <c r="D1" t="s">
        <v>190</v>
      </c>
      <c r="E1" t="s">
        <v>27</v>
      </c>
      <c r="F1" t="s">
        <v>87</v>
      </c>
      <c r="G1" t="s">
        <v>15</v>
      </c>
      <c r="H1" t="s">
        <v>250</v>
      </c>
      <c r="I1" t="s">
        <v>162</v>
      </c>
      <c r="J1" t="s">
        <v>175</v>
      </c>
      <c r="K1" t="s">
        <v>83</v>
      </c>
      <c r="L1" t="s">
        <v>181</v>
      </c>
      <c r="M1" t="s">
        <v>79</v>
      </c>
      <c r="N1" t="s">
        <v>19</v>
      </c>
      <c r="O1" t="s">
        <v>151</v>
      </c>
      <c r="P1" t="s">
        <v>124</v>
      </c>
      <c r="Q1" s="60" t="s">
        <v>39</v>
      </c>
      <c r="R1" s="60" t="s">
        <v>230</v>
      </c>
      <c r="S1" s="60" t="s">
        <v>342</v>
      </c>
      <c r="T1" t="s">
        <v>247</v>
      </c>
      <c r="U1" t="s">
        <v>171</v>
      </c>
      <c r="V1" t="s">
        <v>107</v>
      </c>
      <c r="W1" t="s">
        <v>239</v>
      </c>
      <c r="X1" t="s">
        <v>127</v>
      </c>
      <c r="Y1" t="s">
        <v>163</v>
      </c>
      <c r="Z1" t="s">
        <v>234</v>
      </c>
      <c r="AA1" t="s">
        <v>160</v>
      </c>
      <c r="AB1" t="s">
        <v>271</v>
      </c>
      <c r="AC1" t="s">
        <v>196</v>
      </c>
      <c r="AD1" t="s">
        <v>317</v>
      </c>
      <c r="AE1" t="s">
        <v>316</v>
      </c>
      <c r="AF1" t="s">
        <v>260</v>
      </c>
      <c r="AG1" t="s">
        <v>154</v>
      </c>
      <c r="AH1" t="s">
        <v>52</v>
      </c>
      <c r="AI1" t="s">
        <v>187</v>
      </c>
      <c r="AJ1" s="60" t="s">
        <v>110</v>
      </c>
      <c r="AK1" t="s">
        <v>67</v>
      </c>
      <c r="AL1" s="63" t="s">
        <v>361</v>
      </c>
      <c r="AM1" s="60" t="s">
        <v>192</v>
      </c>
      <c r="AN1" s="88" t="s">
        <v>235</v>
      </c>
      <c r="AO1" t="s">
        <v>326</v>
      </c>
      <c r="AP1" t="s">
        <v>276</v>
      </c>
      <c r="AQ1" t="s">
        <v>221</v>
      </c>
      <c r="AR1" t="s">
        <v>257</v>
      </c>
      <c r="AS1" t="s">
        <v>362</v>
      </c>
      <c r="AT1" t="s">
        <v>363</v>
      </c>
      <c r="AU1" t="s">
        <v>217</v>
      </c>
      <c r="AV1" t="s">
        <v>369</v>
      </c>
      <c r="AW1" t="s">
        <v>193</v>
      </c>
      <c r="AX1" t="s">
        <v>337</v>
      </c>
      <c r="AY1" t="s">
        <v>131</v>
      </c>
      <c r="AZ1" t="s">
        <v>112</v>
      </c>
      <c r="BA1" t="s">
        <v>65</v>
      </c>
      <c r="BB1" t="s">
        <v>368</v>
      </c>
      <c r="BC1" t="s">
        <v>125</v>
      </c>
      <c r="BD1" t="s">
        <v>301</v>
      </c>
      <c r="BE1" t="s">
        <v>198</v>
      </c>
      <c r="BF1" t="s">
        <v>346</v>
      </c>
      <c r="BG1" t="s">
        <v>219</v>
      </c>
      <c r="BH1" t="s">
        <v>335</v>
      </c>
      <c r="BI1" t="s">
        <v>14</v>
      </c>
      <c r="BJ1" t="s">
        <v>176</v>
      </c>
      <c r="BK1" t="s">
        <v>303</v>
      </c>
      <c r="BL1" t="s">
        <v>341</v>
      </c>
      <c r="BM1" t="s">
        <v>12</v>
      </c>
      <c r="BN1" t="s">
        <v>264</v>
      </c>
      <c r="BO1" t="s">
        <v>218</v>
      </c>
      <c r="BP1" t="s">
        <v>13</v>
      </c>
      <c r="BQ1" t="s">
        <v>313</v>
      </c>
      <c r="BR1" s="62" t="s">
        <v>251</v>
      </c>
      <c r="BS1" s="60" t="s">
        <v>91</v>
      </c>
      <c r="BT1" t="s">
        <v>169</v>
      </c>
      <c r="BU1" t="s">
        <v>99</v>
      </c>
      <c r="BV1" t="s">
        <v>150</v>
      </c>
      <c r="BW1" t="s">
        <v>249</v>
      </c>
      <c r="BX1" t="s">
        <v>45</v>
      </c>
      <c r="BY1" t="s">
        <v>78</v>
      </c>
      <c r="BZ1" t="s">
        <v>56</v>
      </c>
      <c r="CA1" s="60" t="s">
        <v>231</v>
      </c>
      <c r="CB1" s="60" t="s">
        <v>185</v>
      </c>
      <c r="CC1" t="s">
        <v>8</v>
      </c>
      <c r="CD1" s="61" t="s">
        <v>157</v>
      </c>
      <c r="CE1" s="61" t="s">
        <v>22</v>
      </c>
      <c r="CF1" s="61" t="s">
        <v>261</v>
      </c>
      <c r="CG1" s="61" t="s">
        <v>152</v>
      </c>
      <c r="CH1" t="s">
        <v>102</v>
      </c>
      <c r="CI1" t="s">
        <v>294</v>
      </c>
      <c r="CJ1" t="s">
        <v>113</v>
      </c>
      <c r="CK1" t="s">
        <v>206</v>
      </c>
      <c r="CL1" t="s">
        <v>1</v>
      </c>
      <c r="CM1" t="s">
        <v>76</v>
      </c>
      <c r="CN1" t="s">
        <v>16</v>
      </c>
      <c r="CO1" t="s">
        <v>273</v>
      </c>
      <c r="CP1" t="s">
        <v>80</v>
      </c>
      <c r="CQ1" s="61" t="s">
        <v>133</v>
      </c>
      <c r="CR1" t="s">
        <v>23</v>
      </c>
      <c r="CS1" t="s">
        <v>4</v>
      </c>
      <c r="CT1" t="s">
        <v>35</v>
      </c>
      <c r="CU1" t="s">
        <v>31</v>
      </c>
      <c r="CV1" s="60" t="s">
        <v>30</v>
      </c>
      <c r="CW1" s="60" t="s">
        <v>153</v>
      </c>
      <c r="CX1" s="60" t="s">
        <v>320</v>
      </c>
      <c r="CY1" s="60" t="s">
        <v>145</v>
      </c>
      <c r="CZ1" s="60" t="s">
        <v>212</v>
      </c>
      <c r="DA1" s="60" t="s">
        <v>128</v>
      </c>
      <c r="DB1" s="60" t="s">
        <v>246</v>
      </c>
      <c r="DC1" t="s">
        <v>95</v>
      </c>
      <c r="DD1" t="s">
        <v>286</v>
      </c>
      <c r="DE1" t="s">
        <v>188</v>
      </c>
      <c r="DF1" t="s">
        <v>252</v>
      </c>
      <c r="DG1" t="s">
        <v>194</v>
      </c>
      <c r="DH1" t="s">
        <v>318</v>
      </c>
      <c r="DI1" t="s">
        <v>366</v>
      </c>
      <c r="DJ1" t="s">
        <v>55</v>
      </c>
      <c r="DK1" t="s">
        <v>111</v>
      </c>
      <c r="DL1" t="s">
        <v>195</v>
      </c>
      <c r="DM1" t="s">
        <v>197</v>
      </c>
      <c r="DN1" t="s">
        <v>347</v>
      </c>
      <c r="DO1" t="s">
        <v>282</v>
      </c>
      <c r="DP1" t="s">
        <v>82</v>
      </c>
      <c r="DQ1" t="s">
        <v>97</v>
      </c>
      <c r="DR1" t="s">
        <v>306</v>
      </c>
      <c r="DS1" t="s">
        <v>288</v>
      </c>
      <c r="DT1" t="s">
        <v>122</v>
      </c>
      <c r="DU1" t="s">
        <v>178</v>
      </c>
      <c r="DV1" t="s">
        <v>139</v>
      </c>
      <c r="DW1" t="s">
        <v>307</v>
      </c>
      <c r="DX1" t="s">
        <v>314</v>
      </c>
      <c r="DY1" t="s">
        <v>353</v>
      </c>
      <c r="DZ1" t="s">
        <v>164</v>
      </c>
      <c r="EA1" t="s">
        <v>100</v>
      </c>
      <c r="EB1" t="s">
        <v>272</v>
      </c>
      <c r="EC1" t="s">
        <v>73</v>
      </c>
      <c r="ED1" t="s">
        <v>17</v>
      </c>
      <c r="EE1" t="s">
        <v>238</v>
      </c>
      <c r="EF1" t="s">
        <v>297</v>
      </c>
      <c r="EG1" t="s">
        <v>304</v>
      </c>
      <c r="EH1" t="s">
        <v>308</v>
      </c>
      <c r="EI1" t="s">
        <v>330</v>
      </c>
      <c r="EJ1" t="s">
        <v>279</v>
      </c>
      <c r="EK1" t="s">
        <v>214</v>
      </c>
      <c r="EL1" t="s">
        <v>202</v>
      </c>
      <c r="EM1" t="s">
        <v>278</v>
      </c>
      <c r="EN1" t="s">
        <v>348</v>
      </c>
      <c r="EO1" t="s">
        <v>351</v>
      </c>
      <c r="EP1" t="s">
        <v>106</v>
      </c>
      <c r="EQ1" t="s">
        <v>57</v>
      </c>
      <c r="ER1" t="s">
        <v>284</v>
      </c>
      <c r="ES1" t="s">
        <v>29</v>
      </c>
      <c r="ET1" t="s">
        <v>216</v>
      </c>
      <c r="EU1" t="s">
        <v>323</v>
      </c>
      <c r="EV1" t="s">
        <v>118</v>
      </c>
      <c r="EW1" t="s">
        <v>211</v>
      </c>
      <c r="EX1" t="s">
        <v>201</v>
      </c>
      <c r="EY1" t="s">
        <v>310</v>
      </c>
      <c r="EZ1" t="s">
        <v>165</v>
      </c>
      <c r="FA1" t="s">
        <v>6</v>
      </c>
      <c r="FB1" t="s">
        <v>352</v>
      </c>
      <c r="FC1" t="s">
        <v>298</v>
      </c>
      <c r="FD1" t="s">
        <v>88</v>
      </c>
      <c r="FE1" t="s">
        <v>90</v>
      </c>
      <c r="FF1" t="s">
        <v>116</v>
      </c>
      <c r="FG1" t="s">
        <v>119</v>
      </c>
      <c r="FH1" t="s">
        <v>336</v>
      </c>
      <c r="FI1" t="s">
        <v>93</v>
      </c>
      <c r="FJ1" t="s">
        <v>242</v>
      </c>
      <c r="FK1" t="s">
        <v>60</v>
      </c>
      <c r="FL1" t="s">
        <v>253</v>
      </c>
      <c r="FM1" t="s">
        <v>325</v>
      </c>
      <c r="FN1" t="s">
        <v>105</v>
      </c>
      <c r="FO1" t="s">
        <v>268</v>
      </c>
      <c r="FP1" t="s">
        <v>350</v>
      </c>
      <c r="FQ1" t="s">
        <v>309</v>
      </c>
      <c r="FR1" t="s">
        <v>5</v>
      </c>
      <c r="FS1" t="s">
        <v>360</v>
      </c>
      <c r="FT1" t="s">
        <v>213</v>
      </c>
      <c r="FU1" t="s">
        <v>0</v>
      </c>
      <c r="FV1" t="s">
        <v>64</v>
      </c>
      <c r="FW1" t="s">
        <v>290</v>
      </c>
      <c r="FX1" t="s">
        <v>244</v>
      </c>
      <c r="FY1" t="s">
        <v>104</v>
      </c>
      <c r="FZ1" t="s">
        <v>215</v>
      </c>
      <c r="GA1" t="s">
        <v>161</v>
      </c>
      <c r="GB1" t="s">
        <v>71</v>
      </c>
      <c r="GC1" t="s">
        <v>173</v>
      </c>
      <c r="GD1" t="s">
        <v>43</v>
      </c>
      <c r="GE1" t="s">
        <v>357</v>
      </c>
      <c r="GF1" t="s">
        <v>120</v>
      </c>
      <c r="GG1" t="s">
        <v>70</v>
      </c>
      <c r="GH1" t="s">
        <v>86</v>
      </c>
      <c r="GI1" t="s">
        <v>44</v>
      </c>
      <c r="GJ1" t="s">
        <v>312</v>
      </c>
      <c r="GK1" t="s">
        <v>319</v>
      </c>
      <c r="GL1" t="s">
        <v>287</v>
      </c>
      <c r="GM1" t="s">
        <v>168</v>
      </c>
      <c r="GN1" t="s">
        <v>274</v>
      </c>
      <c r="GO1" t="s">
        <v>208</v>
      </c>
      <c r="GP1" t="s">
        <v>81</v>
      </c>
      <c r="GQ1" t="s">
        <v>315</v>
      </c>
      <c r="GR1" t="s">
        <v>48</v>
      </c>
      <c r="GS1" t="s">
        <v>33</v>
      </c>
      <c r="GT1" t="s">
        <v>140</v>
      </c>
      <c r="GU1" t="s">
        <v>142</v>
      </c>
      <c r="GV1" t="s">
        <v>37</v>
      </c>
      <c r="GW1" t="s">
        <v>123</v>
      </c>
      <c r="GX1" t="s">
        <v>66</v>
      </c>
      <c r="GY1" t="s">
        <v>281</v>
      </c>
      <c r="GZ1" t="s">
        <v>292</v>
      </c>
      <c r="HA1" t="s">
        <v>149</v>
      </c>
      <c r="HB1" t="s">
        <v>10</v>
      </c>
      <c r="HC1" t="s">
        <v>332</v>
      </c>
      <c r="HD1" t="s">
        <v>108</v>
      </c>
      <c r="HE1" t="s">
        <v>36</v>
      </c>
      <c r="HF1" t="s">
        <v>343</v>
      </c>
      <c r="HG1" t="s">
        <v>189</v>
      </c>
      <c r="HH1" t="s">
        <v>74</v>
      </c>
      <c r="HI1" t="s">
        <v>367</v>
      </c>
      <c r="HJ1" t="s">
        <v>51</v>
      </c>
      <c r="HK1" t="s">
        <v>365</v>
      </c>
      <c r="HL1" t="s">
        <v>248</v>
      </c>
      <c r="HM1" t="s">
        <v>166</v>
      </c>
      <c r="HN1" t="s">
        <v>126</v>
      </c>
      <c r="HO1" t="s">
        <v>240</v>
      </c>
      <c r="HP1" t="s">
        <v>46</v>
      </c>
      <c r="HQ1" t="s">
        <v>338</v>
      </c>
      <c r="HR1" t="s">
        <v>275</v>
      </c>
      <c r="HS1" t="s">
        <v>293</v>
      </c>
      <c r="HT1" t="s">
        <v>137</v>
      </c>
      <c r="HU1" t="s">
        <v>41</v>
      </c>
      <c r="HV1" t="s">
        <v>2</v>
      </c>
      <c r="HW1" t="s">
        <v>130</v>
      </c>
      <c r="HX1" t="s">
        <v>329</v>
      </c>
      <c r="HY1" t="s">
        <v>331</v>
      </c>
      <c r="HZ1" t="s">
        <v>204</v>
      </c>
      <c r="IA1" t="s">
        <v>356</v>
      </c>
      <c r="IB1" t="s">
        <v>229</v>
      </c>
      <c r="IC1" t="s">
        <v>291</v>
      </c>
      <c r="ID1" t="s">
        <v>9</v>
      </c>
      <c r="IE1" t="s">
        <v>333</v>
      </c>
      <c r="IF1" t="s">
        <v>121</v>
      </c>
      <c r="IG1" t="s">
        <v>311</v>
      </c>
      <c r="IH1" t="s">
        <v>283</v>
      </c>
      <c r="II1" t="s">
        <v>223</v>
      </c>
      <c r="IJ1" t="s">
        <v>207</v>
      </c>
      <c r="IK1" t="s">
        <v>220</v>
      </c>
      <c r="IL1" t="s">
        <v>265</v>
      </c>
      <c r="IM1" t="s">
        <v>209</v>
      </c>
      <c r="IN1" t="s">
        <v>200</v>
      </c>
      <c r="IO1" t="s">
        <v>340</v>
      </c>
      <c r="IP1" t="s">
        <v>322</v>
      </c>
      <c r="IQ1" t="s">
        <v>358</v>
      </c>
      <c r="IR1" t="s">
        <v>138</v>
      </c>
      <c r="IS1" t="s">
        <v>59</v>
      </c>
      <c r="IT1" t="s">
        <v>32</v>
      </c>
      <c r="IU1" t="s">
        <v>117</v>
      </c>
    </row>
    <row r="2" spans="17:106" ht="13.5" thickBot="1">
      <c r="Q2" s="88" t="s">
        <v>482</v>
      </c>
      <c r="R2" s="88" t="s">
        <v>481</v>
      </c>
      <c r="S2" s="186">
        <v>20821</v>
      </c>
      <c r="AB2" s="143" t="s">
        <v>483</v>
      </c>
      <c r="AJ2" s="186">
        <v>42681</v>
      </c>
      <c r="AL2">
        <v>3978</v>
      </c>
      <c r="AM2" s="88">
        <v>75</v>
      </c>
      <c r="AN2" s="88">
        <v>68739.84</v>
      </c>
      <c r="AO2" s="184"/>
      <c r="AR2" s="88">
        <v>0</v>
      </c>
      <c r="BS2" s="88" t="s">
        <v>480</v>
      </c>
      <c r="CB2" s="58">
        <v>29221</v>
      </c>
      <c r="CQ2">
        <v>0</v>
      </c>
      <c r="CV2" s="187">
        <v>43741.62911709541</v>
      </c>
      <c r="CW2" s="63">
        <v>0</v>
      </c>
      <c r="CX2" s="63">
        <v>0</v>
      </c>
      <c r="CY2" s="188">
        <v>68739.84</v>
      </c>
      <c r="CZ2" s="189">
        <v>68739.84</v>
      </c>
      <c r="DA2" s="66">
        <v>0</v>
      </c>
      <c r="DB2">
        <v>68</v>
      </c>
    </row>
    <row r="5" spans="19:36" ht="12.75">
      <c r="S5" s="58"/>
      <c r="AJ5" s="58"/>
    </row>
    <row r="6" spans="19:36" ht="12.75">
      <c r="S6" s="58"/>
      <c r="AJ6" s="58"/>
    </row>
  </sheetData>
  <sheetProtection/>
  <printOptions/>
  <pageMargins left="0.7" right="0.7" top="0.75" bottom="0.75" header="0.3" footer="0.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37"/>
  <sheetViews>
    <sheetView zoomScalePageLayoutView="0" workbookViewId="0" topLeftCell="A1">
      <selection activeCell="B5" sqref="B5"/>
    </sheetView>
  </sheetViews>
  <sheetFormatPr defaultColWidth="9.140625" defaultRowHeight="12.75"/>
  <cols>
    <col min="1" max="1" width="3.140625" style="2" customWidth="1"/>
    <col min="2" max="2" width="23.8515625" style="2" customWidth="1"/>
    <col min="3" max="3" width="24.8515625" style="2" customWidth="1"/>
    <col min="4" max="4" width="6.140625" style="2" customWidth="1"/>
    <col min="5" max="5" width="30.140625" style="2" customWidth="1"/>
    <col min="6" max="6" width="11.57421875" style="2" customWidth="1"/>
    <col min="7" max="7" width="9.140625" style="2" customWidth="1"/>
    <col min="8" max="8" width="25.57421875" style="2" customWidth="1"/>
    <col min="9" max="16384" width="9.140625" style="2" customWidth="1"/>
  </cols>
  <sheetData>
    <row r="1" spans="1:14" ht="12.75">
      <c r="A1" s="1"/>
      <c r="B1" s="1" t="s">
        <v>89</v>
      </c>
      <c r="C1" s="1" t="s">
        <v>256</v>
      </c>
      <c r="D1" s="1"/>
      <c r="E1" s="1"/>
      <c r="F1" s="1"/>
      <c r="N1" s="2" t="s">
        <v>85</v>
      </c>
    </row>
    <row r="2" spans="1:14" ht="12.75">
      <c r="A2" s="1"/>
      <c r="B2" s="1" t="s">
        <v>227</v>
      </c>
      <c r="C2" s="1" t="s">
        <v>255</v>
      </c>
      <c r="D2" s="1"/>
      <c r="E2" s="1"/>
      <c r="F2" s="1"/>
      <c r="N2" s="2" t="s">
        <v>25</v>
      </c>
    </row>
    <row r="3" spans="1:14" ht="12.75">
      <c r="A3" s="1"/>
      <c r="B3" s="1"/>
      <c r="C3" s="1"/>
      <c r="D3" s="1"/>
      <c r="E3" s="1"/>
      <c r="F3" s="1"/>
      <c r="N3" s="2" t="s">
        <v>115</v>
      </c>
    </row>
    <row r="4" spans="1:14" ht="12.75">
      <c r="A4" s="1"/>
      <c r="B4" s="1"/>
      <c r="C4" s="1"/>
      <c r="D4" s="1"/>
      <c r="E4" s="1"/>
      <c r="F4" s="1"/>
      <c r="N4" s="2" t="s">
        <v>354</v>
      </c>
    </row>
    <row r="5" spans="1:14" ht="20.25">
      <c r="A5" s="1"/>
      <c r="B5" s="3" t="s">
        <v>159</v>
      </c>
      <c r="C5" s="4"/>
      <c r="D5" s="5"/>
      <c r="E5" s="6"/>
      <c r="F5" s="1"/>
      <c r="N5" s="2" t="s">
        <v>262</v>
      </c>
    </row>
    <row r="6" spans="1:6" ht="12.75">
      <c r="A6" s="1"/>
      <c r="C6" s="1"/>
      <c r="D6" s="1"/>
      <c r="E6" s="1"/>
      <c r="F6" s="1"/>
    </row>
    <row r="7" spans="1:6" ht="12.75">
      <c r="A7" s="1"/>
      <c r="B7" s="7" t="s">
        <v>270</v>
      </c>
      <c r="C7" s="8" t="s">
        <v>182</v>
      </c>
      <c r="D7" s="9"/>
      <c r="E7" s="1"/>
      <c r="F7" s="1"/>
    </row>
    <row r="8" spans="1:6" ht="12.75">
      <c r="A8" s="1"/>
      <c r="B8" s="10" t="s">
        <v>58</v>
      </c>
      <c r="C8" s="11" t="s">
        <v>184</v>
      </c>
      <c r="D8" s="12"/>
      <c r="F8" s="1"/>
    </row>
    <row r="9" spans="1:5" ht="12.75">
      <c r="A9" s="1"/>
      <c r="B9" s="13" t="s">
        <v>3</v>
      </c>
      <c r="C9" s="14" t="s">
        <v>300</v>
      </c>
      <c r="D9" s="15"/>
      <c r="E9" s="12"/>
    </row>
    <row r="10" spans="1:8" ht="12.75">
      <c r="A10" s="1"/>
      <c r="B10" s="10" t="s">
        <v>349</v>
      </c>
      <c r="C10" s="16" t="s">
        <v>243</v>
      </c>
      <c r="D10" s="9"/>
      <c r="E10" s="17" t="s">
        <v>210</v>
      </c>
      <c r="F10" s="18"/>
      <c r="G10"/>
      <c r="H10"/>
    </row>
    <row r="11" spans="1:8" ht="12.75">
      <c r="A11" s="1"/>
      <c r="B11" s="10" t="s">
        <v>136</v>
      </c>
      <c r="C11" s="19" t="s">
        <v>25</v>
      </c>
      <c r="D11" s="20"/>
      <c r="E11" s="10" t="s">
        <v>147</v>
      </c>
      <c r="F11" s="21">
        <v>0.005</v>
      </c>
      <c r="G11"/>
      <c r="H11"/>
    </row>
    <row r="12" spans="1:8" ht="12.75">
      <c r="A12" s="1"/>
      <c r="B12" s="7" t="s">
        <v>148</v>
      </c>
      <c r="C12" s="22">
        <v>2.5</v>
      </c>
      <c r="D12" s="20" t="s">
        <v>158</v>
      </c>
      <c r="E12" s="10" t="s">
        <v>129</v>
      </c>
      <c r="F12" s="21">
        <v>0.015</v>
      </c>
      <c r="G12"/>
      <c r="H12"/>
    </row>
    <row r="13" spans="1:8" ht="12.75">
      <c r="A13" s="1"/>
      <c r="B13" s="7" t="s">
        <v>254</v>
      </c>
      <c r="C13" s="23">
        <v>42005</v>
      </c>
      <c r="D13" s="20"/>
      <c r="E13" s="10" t="s">
        <v>228</v>
      </c>
      <c r="F13" s="21">
        <v>0.0075</v>
      </c>
      <c r="G13" t="s">
        <v>42</v>
      </c>
      <c r="H13"/>
    </row>
    <row r="14" spans="1:8" ht="12.75">
      <c r="A14" s="1"/>
      <c r="B14" s="7" t="s">
        <v>246</v>
      </c>
      <c r="C14" s="19">
        <v>67</v>
      </c>
      <c r="D14" s="1"/>
      <c r="E14" s="24" t="s">
        <v>324</v>
      </c>
      <c r="F14" s="21">
        <v>0.06</v>
      </c>
      <c r="G14"/>
      <c r="H14"/>
    </row>
    <row r="15" spans="1:8" ht="12.75">
      <c r="A15" s="1"/>
      <c r="B15" s="7" t="s">
        <v>172</v>
      </c>
      <c r="C15" s="19" t="s">
        <v>233</v>
      </c>
      <c r="D15" s="20"/>
      <c r="E15" s="10" t="s">
        <v>302</v>
      </c>
      <c r="F15" s="21">
        <v>0.0025</v>
      </c>
      <c r="G15"/>
      <c r="H15"/>
    </row>
    <row r="16" spans="1:8" ht="12.75">
      <c r="A16" s="1"/>
      <c r="B16" s="7" t="s">
        <v>94</v>
      </c>
      <c r="C16" s="19" t="s">
        <v>7</v>
      </c>
      <c r="D16" s="20"/>
      <c r="E16" s="10" t="s">
        <v>225</v>
      </c>
      <c r="F16" s="21">
        <v>0.019</v>
      </c>
      <c r="G16"/>
      <c r="H16"/>
    </row>
    <row r="17" spans="1:8" ht="12.75">
      <c r="A17" s="1"/>
      <c r="B17" s="1"/>
      <c r="C17" s="1"/>
      <c r="D17" s="20"/>
      <c r="E17" s="10" t="s">
        <v>144</v>
      </c>
      <c r="F17" s="21">
        <v>0.04</v>
      </c>
      <c r="G17"/>
      <c r="H17"/>
    </row>
    <row r="18" spans="1:8" ht="12.75">
      <c r="A18" s="1"/>
      <c r="B18" s="25" t="s">
        <v>20</v>
      </c>
      <c r="C18" s="26" t="s">
        <v>49</v>
      </c>
      <c r="D18" s="27"/>
      <c r="E18" s="10" t="s">
        <v>72</v>
      </c>
      <c r="F18" s="21">
        <v>0</v>
      </c>
      <c r="G18"/>
      <c r="H18"/>
    </row>
    <row r="19" spans="1:8" ht="12.75">
      <c r="A19" s="1"/>
      <c r="D19" s="28"/>
      <c r="E19" s="10" t="s">
        <v>266</v>
      </c>
      <c r="F19" s="21">
        <v>0</v>
      </c>
      <c r="G19"/>
      <c r="H19"/>
    </row>
    <row r="20" spans="1:8" ht="12.75">
      <c r="A20" s="1"/>
      <c r="B20" s="7" t="s">
        <v>359</v>
      </c>
      <c r="C20" s="29" t="s">
        <v>180</v>
      </c>
      <c r="D20" s="30"/>
      <c r="E20" s="10" t="s">
        <v>295</v>
      </c>
      <c r="F20" s="21">
        <v>0.0036</v>
      </c>
      <c r="G20"/>
      <c r="H20"/>
    </row>
    <row r="21" spans="1:8" ht="12.75">
      <c r="A21" s="1"/>
      <c r="B21" s="31" t="s">
        <v>103</v>
      </c>
      <c r="C21" s="29" t="s">
        <v>355</v>
      </c>
      <c r="D21" s="9"/>
      <c r="E21" s="24" t="s">
        <v>26</v>
      </c>
      <c r="F21" s="32" t="s">
        <v>49</v>
      </c>
      <c r="G21" s="33">
        <v>0</v>
      </c>
      <c r="H21"/>
    </row>
    <row r="22" spans="1:8" ht="12.75">
      <c r="A22" s="1"/>
      <c r="B22" s="34" t="s">
        <v>61</v>
      </c>
      <c r="C22" s="29" t="s">
        <v>96</v>
      </c>
      <c r="D22" s="35"/>
      <c r="E22" s="7" t="s">
        <v>222</v>
      </c>
      <c r="F22" s="21">
        <v>0.02</v>
      </c>
      <c r="G22"/>
      <c r="H22"/>
    </row>
    <row r="23" spans="1:8" ht="12.75">
      <c r="A23" s="1"/>
      <c r="B23" s="7" t="s">
        <v>226</v>
      </c>
      <c r="C23" s="36" t="s">
        <v>364</v>
      </c>
      <c r="D23" s="37"/>
      <c r="E23" s="24" t="s">
        <v>321</v>
      </c>
      <c r="F23" s="38">
        <v>1</v>
      </c>
      <c r="G23"/>
      <c r="H23"/>
    </row>
    <row r="24" spans="1:8" ht="12.75">
      <c r="A24" s="1"/>
      <c r="B24" s="39"/>
      <c r="C24" s="40"/>
      <c r="D24" s="37"/>
      <c r="E24" s="24" t="s">
        <v>232</v>
      </c>
      <c r="F24" s="38">
        <v>1</v>
      </c>
      <c r="G24"/>
      <c r="H24"/>
    </row>
    <row r="25" spans="1:8" ht="12.75">
      <c r="A25" s="1"/>
      <c r="B25" s="7" t="s">
        <v>186</v>
      </c>
      <c r="C25" s="29" t="s">
        <v>355</v>
      </c>
      <c r="D25" s="41"/>
      <c r="F25" s="42"/>
      <c r="G25"/>
      <c r="H25"/>
    </row>
    <row r="26" spans="1:8" ht="12.75">
      <c r="A26" s="1"/>
      <c r="B26" s="25" t="s">
        <v>285</v>
      </c>
      <c r="C26" s="29" t="s">
        <v>263</v>
      </c>
      <c r="D26" s="37"/>
      <c r="E26" s="7" t="s">
        <v>328</v>
      </c>
      <c r="F26" s="43">
        <v>0</v>
      </c>
      <c r="G26"/>
      <c r="H26"/>
    </row>
    <row r="27" spans="1:8" ht="12.75">
      <c r="A27" s="1"/>
      <c r="B27" s="10" t="s">
        <v>135</v>
      </c>
      <c r="C27" s="26" t="s">
        <v>114</v>
      </c>
      <c r="D27" s="1"/>
      <c r="E27" s="7" t="s">
        <v>177</v>
      </c>
      <c r="F27" s="43">
        <v>0.1</v>
      </c>
      <c r="G27"/>
      <c r="H27"/>
    </row>
    <row r="28" spans="1:8" ht="12.75">
      <c r="A28" s="1"/>
      <c r="B28" s="31" t="s">
        <v>103</v>
      </c>
      <c r="C28" s="29" t="s">
        <v>355</v>
      </c>
      <c r="D28" s="1"/>
      <c r="E28" s="7" t="s">
        <v>34</v>
      </c>
      <c r="F28" s="43">
        <v>0</v>
      </c>
      <c r="G28"/>
      <c r="H28"/>
    </row>
    <row r="29" spans="1:8" ht="12.75">
      <c r="A29" s="1"/>
      <c r="B29" s="31" t="s">
        <v>141</v>
      </c>
      <c r="C29" s="26">
        <v>0</v>
      </c>
      <c r="D29" s="1"/>
      <c r="E29" s="7" t="s">
        <v>191</v>
      </c>
      <c r="F29" s="43">
        <v>0</v>
      </c>
      <c r="G29"/>
      <c r="H29"/>
    </row>
    <row r="30" spans="1:8" ht="12.75">
      <c r="A30" s="1"/>
      <c r="D30" s="1"/>
      <c r="E30" s="7" t="s">
        <v>141</v>
      </c>
      <c r="F30" s="44" t="s">
        <v>25</v>
      </c>
      <c r="G30"/>
      <c r="H30"/>
    </row>
    <row r="31" spans="1:8" ht="12.75">
      <c r="A31" s="1"/>
      <c r="B31" s="25" t="s">
        <v>47</v>
      </c>
      <c r="C31" s="26" t="s">
        <v>355</v>
      </c>
      <c r="D31" s="1"/>
      <c r="E31" s="10" t="s">
        <v>40</v>
      </c>
      <c r="F31" s="45" t="s">
        <v>77</v>
      </c>
      <c r="G31" s="15"/>
      <c r="H31" s="46"/>
    </row>
    <row r="32" spans="1:8" ht="12.75">
      <c r="A32" s="1"/>
      <c r="B32" s="1"/>
      <c r="C32" s="1"/>
      <c r="D32" s="1"/>
      <c r="E32" s="10" t="s">
        <v>109</v>
      </c>
      <c r="F32" s="47" t="s">
        <v>167</v>
      </c>
      <c r="G32" s="48"/>
      <c r="H32" s="49"/>
    </row>
    <row r="33" spans="1:6" ht="12.75">
      <c r="A33" s="1"/>
      <c r="B33" s="1"/>
      <c r="C33" s="1"/>
      <c r="D33" s="1"/>
      <c r="E33" s="1"/>
      <c r="F33" s="1"/>
    </row>
    <row r="34" spans="1:6" ht="12.75">
      <c r="A34" s="1"/>
      <c r="B34" s="50"/>
      <c r="C34" s="51" t="s">
        <v>38</v>
      </c>
      <c r="D34" s="52" t="s">
        <v>68</v>
      </c>
      <c r="E34" s="53"/>
      <c r="F34" s="1"/>
    </row>
    <row r="35" spans="1:6" ht="12.75">
      <c r="A35" s="1"/>
      <c r="B35" s="54" t="s">
        <v>224</v>
      </c>
      <c r="C35" s="55" t="s">
        <v>24</v>
      </c>
      <c r="D35" s="52" t="s">
        <v>63</v>
      </c>
      <c r="E35" s="53"/>
      <c r="F35" s="1"/>
    </row>
    <row r="36" spans="1:6" ht="12.75">
      <c r="A36" s="1"/>
      <c r="B36" s="54" t="s">
        <v>101</v>
      </c>
      <c r="C36" s="51" t="s">
        <v>174</v>
      </c>
      <c r="D36" s="51" t="s">
        <v>258</v>
      </c>
      <c r="E36" s="12"/>
      <c r="F36" s="1"/>
    </row>
    <row r="37" spans="1:4" ht="12.75">
      <c r="A37" s="1"/>
      <c r="B37" s="56"/>
      <c r="C37" s="56"/>
      <c r="D37" s="56"/>
    </row>
  </sheetData>
  <sheetProtection password="EE56" sheet="1" objects="1" scenarios="1"/>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A1">
      <selection activeCell="C39" sqref="C39"/>
    </sheetView>
  </sheetViews>
  <sheetFormatPr defaultColWidth="9.140625" defaultRowHeight="12.75"/>
  <cols>
    <col min="1" max="1" width="31.57421875" style="0" customWidth="1"/>
    <col min="2" max="3" width="12.7109375" style="0" customWidth="1"/>
    <col min="4" max="4" width="14.57421875" style="0" customWidth="1"/>
    <col min="5" max="5" width="15.00390625" style="0" bestFit="1" customWidth="1"/>
    <col min="6" max="6" width="34.7109375" style="0" customWidth="1"/>
    <col min="7" max="7" width="13.28125" style="0" customWidth="1"/>
    <col min="8" max="8" width="12.00390625" style="0" customWidth="1"/>
    <col min="9" max="9" width="14.140625" style="0" bestFit="1" customWidth="1"/>
    <col min="10" max="10" width="17.421875" style="0" customWidth="1"/>
    <col min="11" max="11" width="20.421875" style="0" customWidth="1"/>
    <col min="12" max="12" width="9.7109375" style="0" bestFit="1" customWidth="1"/>
    <col min="13" max="13" width="19.28125" style="0" bestFit="1" customWidth="1"/>
    <col min="14" max="14" width="18.421875" style="0" bestFit="1" customWidth="1"/>
    <col min="15" max="15" width="10.7109375" style="0" bestFit="1" customWidth="1"/>
    <col min="16" max="16" width="18.421875" style="0" bestFit="1" customWidth="1"/>
    <col min="17" max="17" width="14.140625" style="0" bestFit="1" customWidth="1"/>
    <col min="18" max="18" width="16.28125" style="0" bestFit="1" customWidth="1"/>
    <col min="19" max="19" width="10.28125" style="0" bestFit="1" customWidth="1"/>
  </cols>
  <sheetData>
    <row r="1" spans="1:14" ht="12.75">
      <c r="A1" t="s">
        <v>271</v>
      </c>
      <c r="B1" t="s">
        <v>230</v>
      </c>
      <c r="C1" t="s">
        <v>342</v>
      </c>
      <c r="D1" t="s">
        <v>271</v>
      </c>
      <c r="E1" t="s">
        <v>110</v>
      </c>
      <c r="F1" t="s">
        <v>67</v>
      </c>
      <c r="G1" t="s">
        <v>361</v>
      </c>
      <c r="H1" t="s">
        <v>192</v>
      </c>
      <c r="I1" t="s">
        <v>235</v>
      </c>
      <c r="J1" t="s">
        <v>326</v>
      </c>
      <c r="K1" t="s">
        <v>276</v>
      </c>
      <c r="L1" t="s">
        <v>221</v>
      </c>
      <c r="M1" t="s">
        <v>257</v>
      </c>
      <c r="N1" t="s">
        <v>428</v>
      </c>
    </row>
    <row r="2" spans="1:14" ht="12.75">
      <c r="A2" t="str">
        <f>input_BSN</f>
        <v>469368962</v>
      </c>
      <c r="B2" t="str">
        <f>INPUT!R2</f>
        <v>Vrouw</v>
      </c>
      <c r="C2" s="58">
        <f>INPUT!S2</f>
        <v>20821</v>
      </c>
      <c r="D2" t="str">
        <f>INPUT!AB2</f>
        <v>469368962</v>
      </c>
      <c r="E2" s="58">
        <f>INPUT!AJ2</f>
        <v>42681</v>
      </c>
      <c r="F2">
        <f>INPUT!AK2</f>
        <v>0</v>
      </c>
      <c r="G2">
        <f>INPUT!AL2</f>
        <v>3978</v>
      </c>
      <c r="H2">
        <f>input_parttime_percentage</f>
        <v>75</v>
      </c>
      <c r="I2" s="85">
        <f>INPUT!AN2</f>
        <v>68739.84</v>
      </c>
      <c r="J2" s="85">
        <f>I2*H2/100</f>
        <v>51554.88</v>
      </c>
      <c r="K2">
        <f>INPUT!AP2</f>
        <v>0</v>
      </c>
      <c r="L2">
        <f>INPUT!AQ2</f>
        <v>0</v>
      </c>
      <c r="M2">
        <f>INPUT!AR2</f>
        <v>0</v>
      </c>
      <c r="N2" t="str">
        <f>INPUT!BS2</f>
        <v>Alleenstaand</v>
      </c>
    </row>
    <row r="3" spans="3:10" ht="12.75">
      <c r="C3" s="58"/>
      <c r="E3" s="58"/>
      <c r="I3" s="85"/>
      <c r="J3" s="85"/>
    </row>
    <row r="4" spans="3:11" ht="12.75">
      <c r="C4" s="58"/>
      <c r="E4" s="58"/>
      <c r="I4" s="85"/>
      <c r="J4" s="85"/>
      <c r="K4" t="s">
        <v>472</v>
      </c>
    </row>
    <row r="5" spans="9:11" ht="12.75">
      <c r="I5" s="183" t="s">
        <v>475</v>
      </c>
      <c r="K5">
        <v>45858</v>
      </c>
    </row>
    <row r="6" spans="1:15" ht="15">
      <c r="A6" s="74" t="s">
        <v>277</v>
      </c>
      <c r="B6" s="75" t="s">
        <v>371</v>
      </c>
      <c r="C6" s="74" t="s">
        <v>183</v>
      </c>
      <c r="D6" s="76" t="s">
        <v>132</v>
      </c>
      <c r="E6" s="74" t="s">
        <v>155</v>
      </c>
      <c r="F6" s="76" t="s">
        <v>50</v>
      </c>
      <c r="G6" s="77" t="s">
        <v>327</v>
      </c>
      <c r="H6" s="76" t="s">
        <v>474</v>
      </c>
      <c r="I6" s="76" t="s">
        <v>476</v>
      </c>
      <c r="J6" s="76"/>
      <c r="K6" s="74" t="s">
        <v>236</v>
      </c>
      <c r="L6" s="78" t="s">
        <v>20</v>
      </c>
      <c r="M6" s="75" t="s">
        <v>289</v>
      </c>
      <c r="N6" t="s">
        <v>241</v>
      </c>
      <c r="O6" t="s">
        <v>417</v>
      </c>
    </row>
    <row r="7" spans="1:15" ht="15.75" thickBot="1">
      <c r="A7" s="79">
        <f>C2</f>
        <v>20821</v>
      </c>
      <c r="B7" s="80">
        <f ca="1">(TODAY()-A7)/365.25</f>
        <v>62.75154004106776</v>
      </c>
      <c r="C7">
        <v>67</v>
      </c>
      <c r="D7" s="79">
        <f>DATE(YEAR(A7)+C7,MONTH(A7),1)</f>
        <v>45292</v>
      </c>
      <c r="E7" s="79">
        <f>'Berekenen premies'!B4</f>
        <v>43466</v>
      </c>
      <c r="F7" s="81">
        <f>(((YEAR(D7)-YEAR(E7))-1)+((MONTH(D7)-MONTH(E7))+12)/12)</f>
        <v>5</v>
      </c>
      <c r="G7">
        <v>1.875</v>
      </c>
      <c r="H7">
        <f>F7*G7</f>
        <v>9.375</v>
      </c>
      <c r="I7" s="86">
        <f>(J2+M2)/H2*100</f>
        <v>68739.84</v>
      </c>
      <c r="J7">
        <f>input_franchise</f>
        <v>0</v>
      </c>
      <c r="K7">
        <f>MIN(K5,(I7-J7)*H2/100)</f>
        <v>45858</v>
      </c>
      <c r="L7" s="152">
        <f>((H7*K7)/100)</f>
        <v>4299.1875</v>
      </c>
      <c r="M7" s="82">
        <f>G7*K7/100</f>
        <v>859.8375</v>
      </c>
      <c r="N7" t="e">
        <f>VLOOKUP(A2,'OP oud'!A7:C24,3,FALSE)</f>
        <v>#N/A</v>
      </c>
      <c r="O7" s="154" t="e">
        <f>N7+L7</f>
        <v>#N/A</v>
      </c>
    </row>
    <row r="8" spans="1:13" ht="15.75" thickBot="1">
      <c r="A8" t="s">
        <v>299</v>
      </c>
      <c r="B8" s="181">
        <f>FLOOR(B7,1)</f>
        <v>62</v>
      </c>
      <c r="M8" s="75"/>
    </row>
    <row r="9" spans="2:14" ht="15">
      <c r="B9" s="83"/>
      <c r="F9" s="150"/>
      <c r="G9" s="63"/>
      <c r="H9" s="63"/>
      <c r="I9" s="182"/>
      <c r="J9" s="182"/>
      <c r="K9" s="75"/>
      <c r="L9" s="75"/>
      <c r="M9" s="75"/>
      <c r="N9" s="63"/>
    </row>
    <row r="10" spans="1:15" ht="15">
      <c r="A10" s="163" t="s">
        <v>430</v>
      </c>
      <c r="B10" s="164"/>
      <c r="C10" s="164" t="str">
        <f>IF(N2="Gehuwd","ja",IF(N2="Samenwonend","ja","nee"))</f>
        <v>nee</v>
      </c>
      <c r="D10" s="165"/>
      <c r="E10" s="83"/>
      <c r="F10" s="151"/>
      <c r="G10" s="63"/>
      <c r="H10" s="63"/>
      <c r="I10" s="182"/>
      <c r="J10" s="63"/>
      <c r="K10" s="63"/>
      <c r="L10" s="152"/>
      <c r="M10" s="82"/>
      <c r="N10" s="63"/>
      <c r="O10" t="s">
        <v>426</v>
      </c>
    </row>
    <row r="11" spans="1:15" ht="12.75">
      <c r="A11" s="166"/>
      <c r="B11" s="167"/>
      <c r="C11" s="168"/>
      <c r="D11" s="169"/>
      <c r="F11" s="63"/>
      <c r="G11" s="63"/>
      <c r="H11" s="63"/>
      <c r="I11" s="63"/>
      <c r="J11" s="63"/>
      <c r="K11" s="63"/>
      <c r="L11" s="63"/>
      <c r="M11" s="153" t="s">
        <v>429</v>
      </c>
      <c r="N11" s="63"/>
      <c r="O11" s="155">
        <f>IF(C10="ja",IF(E2&lt;B18,C22,C26),0)</f>
        <v>0</v>
      </c>
    </row>
    <row r="12" spans="1:14" ht="15">
      <c r="A12" s="170" t="s">
        <v>432</v>
      </c>
      <c r="B12" s="171"/>
      <c r="C12" s="168"/>
      <c r="D12" s="169"/>
      <c r="F12" s="63"/>
      <c r="G12" s="63"/>
      <c r="H12" s="63" t="s">
        <v>485</v>
      </c>
      <c r="I12" s="63" t="s">
        <v>486</v>
      </c>
      <c r="J12" s="63"/>
      <c r="K12" s="75"/>
      <c r="L12" s="75"/>
      <c r="M12" s="75"/>
      <c r="N12" s="63"/>
    </row>
    <row r="13" spans="1:14" ht="30">
      <c r="A13" s="172" t="s">
        <v>431</v>
      </c>
      <c r="B13" s="168"/>
      <c r="C13" s="168"/>
      <c r="D13" s="169"/>
      <c r="F13" s="212" t="s">
        <v>484</v>
      </c>
      <c r="G13" s="213">
        <v>36</v>
      </c>
      <c r="H13" s="63">
        <f>H2*G2/100</f>
        <v>2983.5</v>
      </c>
      <c r="I13" s="63">
        <f>G13*H13</f>
        <v>107406</v>
      </c>
      <c r="J13" s="63"/>
      <c r="K13" s="63"/>
      <c r="L13" s="152"/>
      <c r="M13" s="82"/>
      <c r="N13" s="63"/>
    </row>
    <row r="14" spans="1:15" ht="12.75">
      <c r="A14" s="172" t="s">
        <v>418</v>
      </c>
      <c r="B14" s="168"/>
      <c r="C14" s="173" t="e">
        <f>O7</f>
        <v>#N/A</v>
      </c>
      <c r="D14" s="169"/>
      <c r="F14" s="63"/>
      <c r="G14" s="63"/>
      <c r="H14" s="63"/>
      <c r="I14" s="63"/>
      <c r="J14" s="63"/>
      <c r="K14" s="63"/>
      <c r="L14" s="63"/>
      <c r="M14" s="63"/>
      <c r="N14" s="63"/>
      <c r="O14" t="s">
        <v>427</v>
      </c>
    </row>
    <row r="15" spans="1:15" ht="12.75">
      <c r="A15" s="166" t="s">
        <v>419</v>
      </c>
      <c r="B15" s="168"/>
      <c r="C15" s="173">
        <f>VLOOKUP(A2,'OP oud'!A7:E19,5)</f>
        <v>582.08</v>
      </c>
      <c r="D15" s="169"/>
      <c r="M15" t="s">
        <v>478</v>
      </c>
      <c r="O15" s="157">
        <f>O11*0.2</f>
        <v>0</v>
      </c>
    </row>
    <row r="16" spans="1:4" ht="12.75">
      <c r="A16" s="172" t="s">
        <v>420</v>
      </c>
      <c r="B16" s="168"/>
      <c r="C16" s="173" t="e">
        <f>(C14-C15)*70%</f>
        <v>#N/A</v>
      </c>
      <c r="D16" s="169"/>
    </row>
    <row r="17" spans="1:4" ht="12.75">
      <c r="A17" s="172" t="s">
        <v>416</v>
      </c>
      <c r="B17" s="168"/>
      <c r="C17" s="168"/>
      <c r="D17" s="169"/>
    </row>
    <row r="18" spans="1:4" ht="12.75">
      <c r="A18" s="172" t="s">
        <v>421</v>
      </c>
      <c r="B18" s="174">
        <v>42005</v>
      </c>
      <c r="C18" s="175">
        <f>(B18-E2)/365.25</f>
        <v>-1.8507871321013005</v>
      </c>
      <c r="D18" s="169"/>
    </row>
    <row r="19" spans="1:4" ht="12.75">
      <c r="A19" s="172" t="s">
        <v>422</v>
      </c>
      <c r="B19" s="168"/>
      <c r="C19" s="173"/>
      <c r="D19" s="169"/>
    </row>
    <row r="20" spans="1:4" ht="12.75">
      <c r="A20" s="172" t="s">
        <v>423</v>
      </c>
      <c r="B20" s="168"/>
      <c r="C20" s="173">
        <v>2665.67</v>
      </c>
      <c r="D20" s="169"/>
    </row>
    <row r="21" spans="1:4" ht="12.75">
      <c r="A21" s="172"/>
      <c r="B21" s="168"/>
      <c r="C21" s="168"/>
      <c r="D21" s="169"/>
    </row>
    <row r="22" spans="1:4" ht="12.75">
      <c r="A22" s="170" t="s">
        <v>424</v>
      </c>
      <c r="B22" s="168"/>
      <c r="C22" s="176" t="e">
        <f>C20+C16</f>
        <v>#N/A</v>
      </c>
      <c r="D22" s="177"/>
    </row>
    <row r="23" spans="1:19" ht="12.75">
      <c r="A23" s="172"/>
      <c r="B23" s="168"/>
      <c r="C23" s="168"/>
      <c r="D23" s="169"/>
      <c r="Q23" s="87"/>
      <c r="S23" s="87"/>
    </row>
    <row r="24" spans="1:4" ht="12.75">
      <c r="A24" s="172"/>
      <c r="B24" s="168"/>
      <c r="C24" s="168"/>
      <c r="D24" s="169"/>
    </row>
    <row r="25" spans="1:4" ht="12.75">
      <c r="A25" s="170" t="s">
        <v>425</v>
      </c>
      <c r="B25" s="168"/>
      <c r="C25" s="168"/>
      <c r="D25" s="169"/>
    </row>
    <row r="26" spans="1:10" ht="12.75">
      <c r="A26" s="172" t="s">
        <v>415</v>
      </c>
      <c r="B26" s="168"/>
      <c r="C26" s="173" t="e">
        <f>O7*70%</f>
        <v>#N/A</v>
      </c>
      <c r="D26" s="169"/>
      <c r="J26" s="87"/>
    </row>
    <row r="27" spans="1:4" ht="12.75">
      <c r="A27" s="178"/>
      <c r="B27" s="179"/>
      <c r="C27" s="179"/>
      <c r="D27" s="180"/>
    </row>
    <row r="29" spans="13:15" ht="12.75">
      <c r="M29" s="57"/>
      <c r="O29" s="58"/>
    </row>
    <row r="30" spans="1:15" ht="12.75">
      <c r="A30" s="65" t="s">
        <v>465</v>
      </c>
      <c r="O30" s="58"/>
    </row>
    <row r="31" spans="1:16" ht="12.75">
      <c r="A31" s="58" t="s">
        <v>466</v>
      </c>
      <c r="B31" s="58"/>
      <c r="P31" s="85"/>
    </row>
    <row r="32" spans="1:3" ht="12.75">
      <c r="A32" t="s">
        <v>468</v>
      </c>
      <c r="B32" s="85">
        <v>47500</v>
      </c>
      <c r="C32" t="s">
        <v>467</v>
      </c>
    </row>
    <row r="33" spans="1:3" ht="12.75">
      <c r="A33" t="s">
        <v>469</v>
      </c>
      <c r="C33" s="85">
        <f>47500-12642</f>
        <v>34858</v>
      </c>
    </row>
    <row r="34" ht="12.75">
      <c r="C34" s="85"/>
    </row>
    <row r="35" spans="1:3" ht="12.75">
      <c r="A35" t="s">
        <v>470</v>
      </c>
      <c r="C35" s="85">
        <f>MIN(I2-J7,C33)*H2/100</f>
        <v>26143.5</v>
      </c>
    </row>
    <row r="36" spans="1:3" ht="12.75">
      <c r="A36" t="s">
        <v>471</v>
      </c>
      <c r="B36" s="87">
        <v>0.07</v>
      </c>
      <c r="C36" s="155">
        <f>C35*B36</f>
        <v>1830.045</v>
      </c>
    </row>
    <row r="39" spans="1:3" ht="12.75">
      <c r="A39" t="s">
        <v>477</v>
      </c>
      <c r="C39" s="185">
        <f>'Berekenen premies'!F11-'Bereken OP|PP|WzP'!C36</f>
        <v>11716.6948125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66"/>
  <sheetViews>
    <sheetView zoomScalePageLayoutView="0" workbookViewId="0" topLeftCell="A1">
      <selection activeCell="A7" sqref="A7"/>
    </sheetView>
  </sheetViews>
  <sheetFormatPr defaultColWidth="9.140625" defaultRowHeight="12.75"/>
  <cols>
    <col min="1" max="1" width="10.00390625" style="0" bestFit="1" customWidth="1"/>
    <col min="2" max="2" width="14.7109375" style="0" bestFit="1" customWidth="1"/>
    <col min="3" max="3" width="19.8515625" style="0" bestFit="1" customWidth="1"/>
    <col min="4" max="4" width="12.8515625" style="0" bestFit="1" customWidth="1"/>
    <col min="9" max="9" width="14.00390625" style="0" bestFit="1" customWidth="1"/>
    <col min="15" max="15" width="9.421875" style="0" bestFit="1" customWidth="1"/>
    <col min="19" max="19" width="10.28125" style="0" bestFit="1" customWidth="1"/>
    <col min="21" max="21" width="10.00390625" style="0" bestFit="1" customWidth="1"/>
  </cols>
  <sheetData>
    <row r="1" spans="2:7" ht="12.75">
      <c r="B1" t="s">
        <v>372</v>
      </c>
      <c r="C1" t="s">
        <v>410</v>
      </c>
      <c r="G1" s="58">
        <v>42370</v>
      </c>
    </row>
    <row r="3" spans="3:23" ht="12.75">
      <c r="C3" s="144" t="s">
        <v>412</v>
      </c>
      <c r="D3" s="145" t="s">
        <v>479</v>
      </c>
      <c r="E3" s="88" t="s">
        <v>373</v>
      </c>
      <c r="F3" s="88" t="s">
        <v>373</v>
      </c>
      <c r="G3" s="88" t="s">
        <v>373</v>
      </c>
      <c r="H3" s="88" t="s">
        <v>373</v>
      </c>
      <c r="I3" s="88" t="s">
        <v>373</v>
      </c>
      <c r="J3" s="88" t="s">
        <v>373</v>
      </c>
      <c r="K3" s="88" t="s">
        <v>373</v>
      </c>
      <c r="L3" s="88" t="s">
        <v>373</v>
      </c>
      <c r="M3" s="88" t="s">
        <v>373</v>
      </c>
      <c r="N3" s="88" t="s">
        <v>373</v>
      </c>
      <c r="O3" s="88" t="s">
        <v>373</v>
      </c>
      <c r="P3" s="88" t="s">
        <v>373</v>
      </c>
      <c r="Q3" s="88" t="s">
        <v>373</v>
      </c>
      <c r="R3" s="88" t="s">
        <v>373</v>
      </c>
      <c r="S3" s="88" t="s">
        <v>373</v>
      </c>
      <c r="T3" s="88" t="s">
        <v>373</v>
      </c>
      <c r="U3" s="88" t="s">
        <v>373</v>
      </c>
      <c r="V3" s="88" t="s">
        <v>373</v>
      </c>
      <c r="W3" s="88" t="s">
        <v>373</v>
      </c>
    </row>
    <row r="4" spans="3:23" ht="12.75">
      <c r="C4" t="s">
        <v>374</v>
      </c>
      <c r="D4" s="145"/>
      <c r="E4" s="88"/>
      <c r="F4" s="88"/>
      <c r="G4" s="88"/>
      <c r="H4" s="88"/>
      <c r="I4" s="88"/>
      <c r="J4" s="88"/>
      <c r="K4" s="88"/>
      <c r="L4" s="88"/>
      <c r="M4" s="88"/>
      <c r="N4" s="88"/>
      <c r="O4" s="88"/>
      <c r="P4" s="88"/>
      <c r="Q4" s="88"/>
      <c r="R4" s="88"/>
      <c r="S4" s="88"/>
      <c r="T4" s="88"/>
      <c r="U4" s="88"/>
      <c r="V4" s="88"/>
      <c r="W4" s="88"/>
    </row>
    <row r="5" spans="1:23" ht="12.75">
      <c r="A5" t="s">
        <v>413</v>
      </c>
      <c r="B5" s="89" t="s">
        <v>375</v>
      </c>
      <c r="C5" t="s">
        <v>473</v>
      </c>
      <c r="D5" s="145"/>
      <c r="E5" s="88" t="s">
        <v>374</v>
      </c>
      <c r="F5" s="88" t="s">
        <v>374</v>
      </c>
      <c r="G5" s="88" t="s">
        <v>374</v>
      </c>
      <c r="H5" s="88" t="s">
        <v>374</v>
      </c>
      <c r="I5" s="88" t="s">
        <v>374</v>
      </c>
      <c r="J5" s="88" t="s">
        <v>374</v>
      </c>
      <c r="K5" s="88" t="s">
        <v>374</v>
      </c>
      <c r="L5" s="88" t="s">
        <v>374</v>
      </c>
      <c r="M5" s="88" t="s">
        <v>374</v>
      </c>
      <c r="N5" s="88" t="s">
        <v>374</v>
      </c>
      <c r="O5" s="88" t="s">
        <v>374</v>
      </c>
      <c r="P5" s="88" t="s">
        <v>374</v>
      </c>
      <c r="Q5" s="88" t="s">
        <v>374</v>
      </c>
      <c r="R5" s="88" t="s">
        <v>374</v>
      </c>
      <c r="S5" s="88" t="s">
        <v>374</v>
      </c>
      <c r="T5" s="88" t="s">
        <v>374</v>
      </c>
      <c r="U5" s="88" t="s">
        <v>374</v>
      </c>
      <c r="V5" s="88" t="s">
        <v>374</v>
      </c>
      <c r="W5" s="88" t="s">
        <v>374</v>
      </c>
    </row>
    <row r="6" spans="2:23" ht="12.75">
      <c r="B6" s="90"/>
      <c r="C6" s="58">
        <f>G1</f>
        <v>42370</v>
      </c>
      <c r="D6" s="146"/>
      <c r="E6" s="88">
        <v>2014</v>
      </c>
      <c r="F6" s="88">
        <v>2015</v>
      </c>
      <c r="G6" s="88">
        <v>2016</v>
      </c>
      <c r="H6" s="88">
        <v>2017</v>
      </c>
      <c r="I6" s="88">
        <v>2018</v>
      </c>
      <c r="J6" s="88">
        <v>2019</v>
      </c>
      <c r="K6" s="88">
        <v>2020</v>
      </c>
      <c r="L6" s="88">
        <v>2021</v>
      </c>
      <c r="M6" s="88">
        <v>2022</v>
      </c>
      <c r="N6" s="88">
        <v>2023</v>
      </c>
      <c r="O6" s="88">
        <v>2024</v>
      </c>
      <c r="P6" s="88">
        <v>2025</v>
      </c>
      <c r="Q6" s="88">
        <v>2026</v>
      </c>
      <c r="R6" s="88">
        <v>2027</v>
      </c>
      <c r="S6" s="88">
        <v>2028</v>
      </c>
      <c r="T6" s="88">
        <v>2029</v>
      </c>
      <c r="U6" s="88">
        <v>2030</v>
      </c>
      <c r="V6" s="88">
        <v>2031</v>
      </c>
      <c r="W6" s="88">
        <v>2032</v>
      </c>
    </row>
    <row r="7" spans="1:7" ht="12.75">
      <c r="A7" s="143">
        <v>144181022</v>
      </c>
      <c r="B7" s="91"/>
      <c r="C7" s="85">
        <f aca="true" t="shared" si="0" ref="C7:C19">SUM(E7:W7)</f>
        <v>1591.9375</v>
      </c>
      <c r="D7" s="147"/>
      <c r="E7" s="85">
        <v>732.1</v>
      </c>
      <c r="F7" s="85">
        <v>859.8375</v>
      </c>
      <c r="G7" s="86"/>
    </row>
    <row r="8" spans="1:6" ht="12.75">
      <c r="A8" s="142">
        <v>135441596</v>
      </c>
      <c r="B8" s="91"/>
      <c r="C8" s="85">
        <f>SUM(E8:W8)</f>
        <v>1591.9375</v>
      </c>
      <c r="D8" s="147"/>
      <c r="E8" s="85">
        <v>732.1</v>
      </c>
      <c r="F8" s="85">
        <v>859.8375</v>
      </c>
    </row>
    <row r="9" spans="1:6" ht="12.75">
      <c r="A9" s="142">
        <v>189576297</v>
      </c>
      <c r="B9" s="91"/>
      <c r="C9" s="85">
        <f t="shared" si="0"/>
        <v>838.2034700000002</v>
      </c>
      <c r="D9" s="147"/>
      <c r="E9" s="85">
        <v>408.53</v>
      </c>
      <c r="F9" s="85">
        <v>429.6734700000002</v>
      </c>
    </row>
    <row r="10" spans="1:6" ht="12.75">
      <c r="A10" s="142">
        <v>189603914</v>
      </c>
      <c r="B10" s="91"/>
      <c r="C10" s="85">
        <f t="shared" si="0"/>
        <v>252.3390225</v>
      </c>
      <c r="D10" s="147"/>
      <c r="E10" s="85">
        <v>122.7</v>
      </c>
      <c r="F10" s="85">
        <v>129.6390225</v>
      </c>
    </row>
    <row r="11" spans="1:6" ht="12.75">
      <c r="A11" s="142">
        <v>47792218</v>
      </c>
      <c r="B11" s="91"/>
      <c r="C11" s="85">
        <f t="shared" si="0"/>
        <v>470.06999999999994</v>
      </c>
      <c r="D11" s="147"/>
      <c r="E11" s="85">
        <v>209.97</v>
      </c>
      <c r="F11" s="85">
        <v>260.09999999999997</v>
      </c>
    </row>
    <row r="12" spans="1:6" ht="12.75">
      <c r="A12" s="142">
        <v>181166148</v>
      </c>
      <c r="B12" s="91"/>
      <c r="C12" s="85">
        <f t="shared" si="0"/>
        <v>629.29624375</v>
      </c>
      <c r="D12" s="147"/>
      <c r="E12" s="85">
        <v>305.95</v>
      </c>
      <c r="F12" s="85">
        <v>323.34624375000004</v>
      </c>
    </row>
    <row r="13" spans="1:6" ht="12.75">
      <c r="A13" s="142">
        <v>190131032</v>
      </c>
      <c r="B13" s="91"/>
      <c r="C13" s="85">
        <f t="shared" si="0"/>
        <v>532.6256249999999</v>
      </c>
      <c r="D13" s="147"/>
      <c r="E13" s="85">
        <v>244.89</v>
      </c>
      <c r="F13" s="85">
        <v>287.73562499999997</v>
      </c>
    </row>
    <row r="14" spans="1:6" ht="12.75">
      <c r="A14" s="142">
        <v>184223349</v>
      </c>
      <c r="B14" s="91"/>
      <c r="C14" s="85">
        <f t="shared" si="0"/>
        <v>1591.9475</v>
      </c>
      <c r="D14" s="147"/>
      <c r="E14" s="85">
        <v>732.11</v>
      </c>
      <c r="F14" s="85">
        <v>859.8375</v>
      </c>
    </row>
    <row r="15" spans="1:6" ht="12.75">
      <c r="A15" s="142">
        <v>189215483</v>
      </c>
      <c r="B15" s="91"/>
      <c r="C15" s="85">
        <f t="shared" si="0"/>
        <v>1465.3725</v>
      </c>
      <c r="D15" s="147"/>
      <c r="E15" s="85">
        <v>625.11</v>
      </c>
      <c r="F15" s="85">
        <v>840.2624999999999</v>
      </c>
    </row>
    <row r="16" spans="1:6" ht="12.75">
      <c r="A16" s="142">
        <v>181223181</v>
      </c>
      <c r="B16" s="91"/>
      <c r="C16" s="85">
        <f t="shared" si="0"/>
        <v>103.357654</v>
      </c>
      <c r="D16" s="147"/>
      <c r="E16" s="85">
        <v>47.98</v>
      </c>
      <c r="F16" s="85">
        <v>55.377654</v>
      </c>
    </row>
    <row r="17" spans="1:6" ht="12.75">
      <c r="A17" s="142">
        <v>121993310</v>
      </c>
      <c r="B17" s="92"/>
      <c r="C17" s="85">
        <f t="shared" si="0"/>
        <v>278.74684</v>
      </c>
      <c r="D17" s="147"/>
      <c r="E17" s="85">
        <v>36.01</v>
      </c>
      <c r="F17" s="85">
        <v>242.73684000000003</v>
      </c>
    </row>
    <row r="18" spans="1:6" ht="12.75">
      <c r="A18" s="142" t="s">
        <v>414</v>
      </c>
      <c r="B18" s="91"/>
      <c r="C18" s="85">
        <f t="shared" si="0"/>
        <v>1232.55197</v>
      </c>
      <c r="D18" s="147">
        <v>2665.67</v>
      </c>
      <c r="E18" s="85">
        <v>582.08</v>
      </c>
      <c r="F18" s="85">
        <v>650.4719699999999</v>
      </c>
    </row>
    <row r="19" spans="1:6" ht="12.75">
      <c r="A19" s="142">
        <v>154434929</v>
      </c>
      <c r="B19" s="91"/>
      <c r="C19" s="85">
        <f t="shared" si="0"/>
        <v>1288.53625</v>
      </c>
      <c r="D19" s="147"/>
      <c r="E19" s="85">
        <v>545.53</v>
      </c>
      <c r="F19" s="85">
        <v>743.00625</v>
      </c>
    </row>
    <row r="20" spans="1:6" ht="12.75">
      <c r="A20" s="142"/>
      <c r="B20" s="148"/>
      <c r="C20" s="85"/>
      <c r="D20" s="149"/>
      <c r="E20" s="85"/>
      <c r="F20" s="85"/>
    </row>
    <row r="21" spans="1:6" ht="12.75">
      <c r="A21" s="142"/>
      <c r="B21" s="148"/>
      <c r="C21" s="85"/>
      <c r="D21" s="149"/>
      <c r="E21" s="85"/>
      <c r="F21" s="85"/>
    </row>
    <row r="22" spans="1:6" ht="12.75">
      <c r="A22" s="142"/>
      <c r="B22" s="148"/>
      <c r="C22" s="85"/>
      <c r="D22" s="149"/>
      <c r="E22" s="85"/>
      <c r="F22" s="85"/>
    </row>
    <row r="23" spans="1:19" ht="12.75">
      <c r="A23" s="142"/>
      <c r="B23" s="148"/>
      <c r="C23" s="85"/>
      <c r="D23" s="149"/>
      <c r="E23" s="85"/>
      <c r="F23" s="85"/>
      <c r="S23" s="85"/>
    </row>
    <row r="24" spans="1:19" ht="12.75">
      <c r="A24" s="142"/>
      <c r="B24" s="148"/>
      <c r="C24" s="85"/>
      <c r="D24" s="149"/>
      <c r="E24" s="85"/>
      <c r="F24" s="85"/>
      <c r="S24" s="85"/>
    </row>
    <row r="25" spans="1:19" ht="12.75">
      <c r="A25" s="142"/>
      <c r="B25" s="148"/>
      <c r="C25" s="85"/>
      <c r="D25" s="149"/>
      <c r="E25" s="85"/>
      <c r="F25" s="85"/>
      <c r="S25" s="85"/>
    </row>
    <row r="26" spans="1:19" ht="12.75">
      <c r="A26" s="142"/>
      <c r="B26" s="148"/>
      <c r="C26" s="85"/>
      <c r="D26" s="149"/>
      <c r="E26" s="85"/>
      <c r="F26" s="85"/>
      <c r="S26" s="85"/>
    </row>
    <row r="27" spans="1:19" ht="12.75">
      <c r="A27" s="142"/>
      <c r="B27" s="148"/>
      <c r="C27" s="85"/>
      <c r="D27" s="149"/>
      <c r="E27" s="85"/>
      <c r="F27" s="85"/>
      <c r="S27" s="85"/>
    </row>
    <row r="28" spans="1:19" ht="12.75">
      <c r="A28" s="142"/>
      <c r="B28" s="148"/>
      <c r="C28" s="85"/>
      <c r="D28" s="149"/>
      <c r="E28" s="85"/>
      <c r="F28" s="85"/>
      <c r="S28" s="85"/>
    </row>
    <row r="29" spans="1:19" ht="12.75">
      <c r="A29" s="142"/>
      <c r="B29" s="148"/>
      <c r="C29" s="85"/>
      <c r="D29" s="149"/>
      <c r="E29" s="85"/>
      <c r="F29" s="85"/>
      <c r="S29" s="85"/>
    </row>
    <row r="30" ht="12.75">
      <c r="S30" s="85"/>
    </row>
    <row r="31" ht="12.75">
      <c r="S31" s="85"/>
    </row>
    <row r="32" ht="12.75">
      <c r="S32" s="85"/>
    </row>
    <row r="33" spans="19:21" ht="12.75">
      <c r="S33" s="85"/>
      <c r="T33" s="142"/>
      <c r="U33" s="143"/>
    </row>
    <row r="34" spans="2:21" ht="12.75">
      <c r="B34" s="93"/>
      <c r="C34" s="94"/>
      <c r="D34" s="95"/>
      <c r="E34" s="95"/>
      <c r="F34" s="95"/>
      <c r="G34" s="95"/>
      <c r="H34" s="95"/>
      <c r="I34" s="95"/>
      <c r="J34" s="95"/>
      <c r="K34" s="95"/>
      <c r="L34" s="96"/>
      <c r="M34" s="97"/>
      <c r="N34" s="98"/>
      <c r="O34" s="99"/>
      <c r="P34" s="94"/>
      <c r="Q34" s="94"/>
      <c r="S34" s="85"/>
      <c r="T34" s="142"/>
      <c r="U34" s="142"/>
    </row>
    <row r="35" spans="2:21" ht="12.75">
      <c r="B35" s="93"/>
      <c r="C35" s="94"/>
      <c r="D35" s="100"/>
      <c r="E35" s="95"/>
      <c r="F35" s="95"/>
      <c r="G35" s="95"/>
      <c r="H35" s="95"/>
      <c r="I35" s="95"/>
      <c r="J35" s="95"/>
      <c r="K35" s="95"/>
      <c r="L35" s="96"/>
      <c r="M35" s="97"/>
      <c r="N35" s="98"/>
      <c r="O35" s="99"/>
      <c r="P35" s="94"/>
      <c r="Q35" s="94"/>
      <c r="S35" s="85"/>
      <c r="T35" s="142"/>
      <c r="U35" s="142"/>
    </row>
    <row r="36" spans="2:21" ht="12.75">
      <c r="B36" s="93"/>
      <c r="C36" s="94" t="s">
        <v>256</v>
      </c>
      <c r="D36" s="101" t="s">
        <v>376</v>
      </c>
      <c r="E36" s="95"/>
      <c r="F36" s="95"/>
      <c r="G36" s="95"/>
      <c r="H36" s="95"/>
      <c r="I36" s="95"/>
      <c r="J36" s="95"/>
      <c r="K36" s="95"/>
      <c r="L36" s="96"/>
      <c r="M36" s="97"/>
      <c r="N36" s="98"/>
      <c r="O36" s="99"/>
      <c r="P36" s="94"/>
      <c r="Q36" s="94"/>
      <c r="T36" s="143"/>
      <c r="U36" s="142"/>
    </row>
    <row r="37" spans="2:21" ht="13.5" thickBot="1">
      <c r="B37" s="93"/>
      <c r="C37" s="102" t="s">
        <v>377</v>
      </c>
      <c r="D37" s="204">
        <v>42370</v>
      </c>
      <c r="E37" s="103"/>
      <c r="F37" s="103"/>
      <c r="G37" s="95"/>
      <c r="H37" s="104" t="s">
        <v>378</v>
      </c>
      <c r="I37" s="105" t="s">
        <v>379</v>
      </c>
      <c r="J37" s="106" t="s">
        <v>380</v>
      </c>
      <c r="K37" s="106" t="s">
        <v>381</v>
      </c>
      <c r="L37" s="106" t="s">
        <v>382</v>
      </c>
      <c r="M37" s="107" t="s">
        <v>411</v>
      </c>
      <c r="N37" s="108"/>
      <c r="O37" s="109"/>
      <c r="P37" s="94"/>
      <c r="Q37" s="94"/>
      <c r="T37" s="142"/>
      <c r="U37" s="142"/>
    </row>
    <row r="38" spans="2:21" ht="13.5" thickBot="1">
      <c r="B38" s="93"/>
      <c r="C38" s="94" t="s">
        <v>153</v>
      </c>
      <c r="D38" s="205">
        <v>12953</v>
      </c>
      <c r="E38" s="110"/>
      <c r="F38" s="110"/>
      <c r="G38" s="95"/>
      <c r="H38" s="210"/>
      <c r="I38" s="211"/>
      <c r="J38" s="211" t="s">
        <v>383</v>
      </c>
      <c r="K38" s="211" t="s">
        <v>384</v>
      </c>
      <c r="L38" s="211"/>
      <c r="M38" s="107"/>
      <c r="N38" s="108"/>
      <c r="O38" s="112"/>
      <c r="P38" s="94"/>
      <c r="Q38" s="94"/>
      <c r="T38" s="143"/>
      <c r="U38" s="142"/>
    </row>
    <row r="39" spans="2:21" ht="23.25" customHeight="1" thickBot="1">
      <c r="B39" s="93"/>
      <c r="C39" s="94" t="s">
        <v>385</v>
      </c>
      <c r="D39" s="206">
        <f>J42</f>
        <v>58811</v>
      </c>
      <c r="E39" s="113" t="s">
        <v>386</v>
      </c>
      <c r="F39" s="113"/>
      <c r="G39" s="95"/>
      <c r="H39" s="210"/>
      <c r="I39" s="211"/>
      <c r="J39" s="211"/>
      <c r="K39" s="211"/>
      <c r="L39" s="211"/>
      <c r="M39" s="107"/>
      <c r="N39" s="108"/>
      <c r="O39" s="112"/>
      <c r="P39" s="94"/>
      <c r="Q39" s="94"/>
      <c r="T39" s="143"/>
      <c r="U39" s="142"/>
    </row>
    <row r="40" spans="2:21" ht="13.5" thickBot="1">
      <c r="B40" s="93"/>
      <c r="C40" s="94" t="s">
        <v>387</v>
      </c>
      <c r="D40" s="207">
        <f>K42</f>
        <v>47811</v>
      </c>
      <c r="E40" s="113"/>
      <c r="F40" s="113"/>
      <c r="G40" s="95"/>
      <c r="H40" s="111">
        <v>2014</v>
      </c>
      <c r="I40" s="114">
        <v>13449</v>
      </c>
      <c r="J40" s="114">
        <v>47500</v>
      </c>
      <c r="K40" s="114">
        <v>47500</v>
      </c>
      <c r="L40" s="114"/>
      <c r="M40" s="140">
        <v>0.0215</v>
      </c>
      <c r="N40" s="108"/>
      <c r="O40" s="112"/>
      <c r="P40" s="94"/>
      <c r="Q40" s="94"/>
      <c r="T40" s="142"/>
      <c r="U40" s="142"/>
    </row>
    <row r="41" spans="2:21" ht="12.75">
      <c r="B41" s="93"/>
      <c r="C41" s="94"/>
      <c r="D41" s="208"/>
      <c r="E41" s="110"/>
      <c r="F41" s="110"/>
      <c r="G41" s="95"/>
      <c r="H41" s="111">
        <v>2015</v>
      </c>
      <c r="I41" s="114">
        <v>12642</v>
      </c>
      <c r="J41" s="114">
        <v>58500</v>
      </c>
      <c r="K41" s="114">
        <v>47500</v>
      </c>
      <c r="L41" s="114"/>
      <c r="M41" s="141">
        <v>0.01875</v>
      </c>
      <c r="N41" s="108"/>
      <c r="O41" s="112"/>
      <c r="P41" s="94"/>
      <c r="Q41" s="94"/>
      <c r="T41" s="142"/>
      <c r="U41" s="142"/>
    </row>
    <row r="42" spans="2:21" ht="12.75">
      <c r="B42" s="93"/>
      <c r="C42" s="94" t="s">
        <v>388</v>
      </c>
      <c r="D42" s="209">
        <v>0.07</v>
      </c>
      <c r="E42" s="113"/>
      <c r="F42" s="113"/>
      <c r="G42" s="95"/>
      <c r="H42" s="111">
        <v>2016</v>
      </c>
      <c r="I42" s="114">
        <v>12953</v>
      </c>
      <c r="J42" s="115">
        <f>J41+L42</f>
        <v>58811</v>
      </c>
      <c r="K42" s="115">
        <f>K41+L42</f>
        <v>47811</v>
      </c>
      <c r="L42" s="115">
        <f>I42-I41</f>
        <v>311</v>
      </c>
      <c r="M42" s="141">
        <v>0.01875</v>
      </c>
      <c r="N42" s="97"/>
      <c r="O42" s="98"/>
      <c r="P42" s="94"/>
      <c r="Q42" s="94"/>
      <c r="T42" s="142"/>
      <c r="U42" s="142"/>
    </row>
    <row r="43" spans="2:21" ht="12.75">
      <c r="B43" s="93"/>
      <c r="C43" s="94"/>
      <c r="D43" s="116"/>
      <c r="E43" s="113"/>
      <c r="F43" s="113"/>
      <c r="G43" s="95"/>
      <c r="H43" s="111"/>
      <c r="I43" s="114"/>
      <c r="J43" s="115"/>
      <c r="K43" s="114"/>
      <c r="L43" s="114"/>
      <c r="M43" s="107"/>
      <c r="N43" s="97"/>
      <c r="O43" s="98"/>
      <c r="P43" s="94"/>
      <c r="Q43" s="94"/>
      <c r="T43" s="142"/>
      <c r="U43" s="142"/>
    </row>
    <row r="44" spans="2:21" ht="12.75">
      <c r="B44" s="93"/>
      <c r="C44" s="94"/>
      <c r="D44" s="116"/>
      <c r="E44" s="113"/>
      <c r="F44" s="113"/>
      <c r="G44" s="95"/>
      <c r="H44" s="111"/>
      <c r="I44" s="114"/>
      <c r="J44" s="115"/>
      <c r="K44" s="114"/>
      <c r="L44" s="114"/>
      <c r="M44" s="107"/>
      <c r="N44" s="97"/>
      <c r="O44" s="98"/>
      <c r="P44" s="94"/>
      <c r="Q44" s="94"/>
      <c r="T44" s="142"/>
      <c r="U44" s="142"/>
    </row>
    <row r="45" spans="2:21" ht="12.75">
      <c r="B45" s="93"/>
      <c r="C45" s="94"/>
      <c r="D45" s="116"/>
      <c r="E45" s="113"/>
      <c r="F45" s="113"/>
      <c r="G45" s="95"/>
      <c r="H45" s="111"/>
      <c r="I45" s="114"/>
      <c r="J45" s="115"/>
      <c r="K45" s="114"/>
      <c r="L45" s="114"/>
      <c r="M45" s="107"/>
      <c r="N45" s="97"/>
      <c r="O45" s="98"/>
      <c r="P45" s="94"/>
      <c r="Q45" s="94"/>
      <c r="T45" s="142"/>
      <c r="U45" s="142"/>
    </row>
    <row r="46" spans="2:17" ht="12.75">
      <c r="B46" s="93"/>
      <c r="C46" s="94"/>
      <c r="D46" s="116"/>
      <c r="E46" s="113"/>
      <c r="F46" s="113"/>
      <c r="G46" s="95"/>
      <c r="H46" s="111"/>
      <c r="I46" s="114"/>
      <c r="J46" s="115"/>
      <c r="K46" s="114"/>
      <c r="L46" s="114"/>
      <c r="M46" s="107"/>
      <c r="N46" s="97"/>
      <c r="O46" s="98"/>
      <c r="P46" s="94"/>
      <c r="Q46" s="94"/>
    </row>
    <row r="47" spans="2:17" ht="12.75">
      <c r="B47" s="93"/>
      <c r="C47" s="94"/>
      <c r="D47" s="116"/>
      <c r="E47" s="113"/>
      <c r="F47" s="113"/>
      <c r="G47" s="95"/>
      <c r="H47" s="111"/>
      <c r="I47" s="114"/>
      <c r="J47" s="115"/>
      <c r="K47" s="114"/>
      <c r="L47" s="114"/>
      <c r="M47" s="107"/>
      <c r="N47" s="97"/>
      <c r="O47" s="98"/>
      <c r="P47" s="94"/>
      <c r="Q47" s="94"/>
    </row>
    <row r="48" spans="2:17" ht="12.75">
      <c r="B48" s="93"/>
      <c r="C48" s="94"/>
      <c r="D48" s="116"/>
      <c r="E48" s="113"/>
      <c r="F48" s="113"/>
      <c r="G48" s="95"/>
      <c r="H48" s="111"/>
      <c r="I48" s="114"/>
      <c r="J48" s="115"/>
      <c r="K48" s="114"/>
      <c r="L48" s="114"/>
      <c r="M48" s="107"/>
      <c r="N48" s="97"/>
      <c r="O48" s="98"/>
      <c r="P48" s="94"/>
      <c r="Q48" s="94"/>
    </row>
    <row r="49" spans="2:17" ht="12.75">
      <c r="B49" s="93"/>
      <c r="C49" s="93"/>
      <c r="D49" s="93"/>
      <c r="E49" s="93"/>
      <c r="F49" s="93"/>
      <c r="G49" s="93"/>
      <c r="H49" s="111"/>
      <c r="I49" s="114"/>
      <c r="J49" s="115"/>
      <c r="K49" s="114"/>
      <c r="L49" s="114"/>
      <c r="M49" s="107"/>
      <c r="N49" s="93"/>
      <c r="O49" s="93"/>
      <c r="P49" s="93"/>
      <c r="Q49" s="93"/>
    </row>
    <row r="50" spans="2:17" ht="12.75">
      <c r="B50" s="93"/>
      <c r="C50" s="117"/>
      <c r="D50" s="118"/>
      <c r="E50" s="119"/>
      <c r="F50" s="119"/>
      <c r="G50" s="120"/>
      <c r="H50" s="121"/>
      <c r="I50" s="114"/>
      <c r="J50" s="115"/>
      <c r="K50" s="114"/>
      <c r="L50" s="114"/>
      <c r="M50" s="122"/>
      <c r="N50" s="123"/>
      <c r="O50" s="124"/>
      <c r="P50" s="125"/>
      <c r="Q50" s="125"/>
    </row>
    <row r="51" spans="2:17" ht="13.5" thickBot="1">
      <c r="B51" s="93"/>
      <c r="C51" s="93"/>
      <c r="D51" s="93"/>
      <c r="E51" s="93"/>
      <c r="F51" s="93"/>
      <c r="G51" s="93"/>
      <c r="H51" s="93"/>
      <c r="I51" s="93"/>
      <c r="J51" s="93"/>
      <c r="K51" s="93"/>
      <c r="L51" s="126"/>
      <c r="M51" s="127"/>
      <c r="N51" s="128"/>
      <c r="O51" s="129"/>
      <c r="P51" s="120"/>
      <c r="Q51" s="120"/>
    </row>
    <row r="52" spans="2:17" ht="12.75">
      <c r="B52" s="190"/>
      <c r="C52" s="191" t="s">
        <v>375</v>
      </c>
      <c r="D52" s="192" t="s">
        <v>389</v>
      </c>
      <c r="E52" s="193" t="s">
        <v>390</v>
      </c>
      <c r="F52" s="194" t="s">
        <v>391</v>
      </c>
      <c r="G52" s="192" t="s">
        <v>392</v>
      </c>
      <c r="H52" s="194" t="s">
        <v>393</v>
      </c>
      <c r="I52" s="194" t="s">
        <v>394</v>
      </c>
      <c r="J52" s="194" t="s">
        <v>394</v>
      </c>
      <c r="K52" s="194" t="s">
        <v>395</v>
      </c>
      <c r="L52" s="194" t="s">
        <v>395</v>
      </c>
      <c r="M52" s="194" t="s">
        <v>396</v>
      </c>
      <c r="N52" s="195" t="s">
        <v>397</v>
      </c>
      <c r="O52" s="196" t="s">
        <v>398</v>
      </c>
      <c r="P52" s="196" t="s">
        <v>399</v>
      </c>
      <c r="Q52" s="130" t="s">
        <v>400</v>
      </c>
    </row>
    <row r="53" spans="2:17" ht="12.75">
      <c r="B53" s="197" t="s">
        <v>401</v>
      </c>
      <c r="C53" s="198"/>
      <c r="D53" s="199" t="s">
        <v>402</v>
      </c>
      <c r="E53" s="200"/>
      <c r="F53" s="201" t="s">
        <v>402</v>
      </c>
      <c r="G53" s="199" t="s">
        <v>403</v>
      </c>
      <c r="H53" s="202">
        <v>3</v>
      </c>
      <c r="I53" s="201" t="s">
        <v>404</v>
      </c>
      <c r="J53" s="201" t="s">
        <v>405</v>
      </c>
      <c r="K53" s="201" t="s">
        <v>406</v>
      </c>
      <c r="L53" s="201" t="s">
        <v>407</v>
      </c>
      <c r="M53" s="201" t="s">
        <v>407</v>
      </c>
      <c r="N53" s="203" t="s">
        <v>407</v>
      </c>
      <c r="O53" s="194" t="s">
        <v>408</v>
      </c>
      <c r="P53" s="194" t="s">
        <v>409</v>
      </c>
      <c r="Q53" s="131">
        <v>0.01875</v>
      </c>
    </row>
    <row r="54" spans="2:19" ht="12.75">
      <c r="B54" s="132">
        <v>1</v>
      </c>
      <c r="C54" s="91"/>
      <c r="D54" s="133">
        <f>6200*1.01</f>
        <v>6262</v>
      </c>
      <c r="E54" s="134">
        <v>1</v>
      </c>
      <c r="F54" s="135">
        <f aca="true" t="shared" si="1" ref="F54:F66">D54*E54</f>
        <v>6262</v>
      </c>
      <c r="G54" s="135">
        <v>24000</v>
      </c>
      <c r="H54" s="135">
        <f>F54*$H$53</f>
        <v>18786</v>
      </c>
      <c r="I54" s="136">
        <f>(MIN($D$39,(F54*12.96)+MIN(H54,G54)))</f>
        <v>58811</v>
      </c>
      <c r="J54" s="136">
        <f aca="true" t="shared" si="2" ref="J54:J66">I54/E54</f>
        <v>58811</v>
      </c>
      <c r="K54" s="136">
        <f>J54-$D$38</f>
        <v>45858</v>
      </c>
      <c r="L54" s="136">
        <f>K54*E54</f>
        <v>45858</v>
      </c>
      <c r="M54" s="137">
        <f>MIN($D$40,F54*12.96)</f>
        <v>47811</v>
      </c>
      <c r="N54" s="136">
        <f>M54-($D$38*E54)</f>
        <v>34858</v>
      </c>
      <c r="O54" s="138">
        <f>N54*$D$42</f>
        <v>2440.0600000000004</v>
      </c>
      <c r="P54" s="138">
        <f>O54/12</f>
        <v>203.33833333333337</v>
      </c>
      <c r="Q54" s="139">
        <f>L54*$Q$53</f>
        <v>859.8375</v>
      </c>
      <c r="R54" s="86">
        <f>C7+Q54</f>
        <v>2451.775</v>
      </c>
      <c r="S54" s="86"/>
    </row>
    <row r="55" spans="2:19" ht="12.75">
      <c r="B55" s="132">
        <v>2</v>
      </c>
      <c r="C55" s="91"/>
      <c r="D55" s="133">
        <v>4605.46</v>
      </c>
      <c r="E55" s="134">
        <v>1</v>
      </c>
      <c r="F55" s="135">
        <f t="shared" si="1"/>
        <v>4605.46</v>
      </c>
      <c r="G55" s="136">
        <v>13461</v>
      </c>
      <c r="H55" s="135">
        <f aca="true" t="shared" si="3" ref="H55:H66">F55*$H$53</f>
        <v>13816.380000000001</v>
      </c>
      <c r="I55" s="136">
        <f aca="true" t="shared" si="4" ref="I55:I66">(MIN($D$39,(F55*12.96)+MIN(H55,G55)))</f>
        <v>58811</v>
      </c>
      <c r="J55" s="136">
        <f>I55/E55</f>
        <v>58811</v>
      </c>
      <c r="K55" s="136">
        <f aca="true" t="shared" si="5" ref="K55:K66">J55-$D$38</f>
        <v>45858</v>
      </c>
      <c r="L55" s="136">
        <f aca="true" t="shared" si="6" ref="L55:L66">K55*E55</f>
        <v>45858</v>
      </c>
      <c r="M55" s="137">
        <f aca="true" t="shared" si="7" ref="M55:M66">MIN($D$40,F55*12.96)</f>
        <v>47811</v>
      </c>
      <c r="N55" s="136">
        <f aca="true" t="shared" si="8" ref="N55:N66">M55-($D$38*E55)</f>
        <v>34858</v>
      </c>
      <c r="O55" s="138">
        <f aca="true" t="shared" si="9" ref="O55:O66">N55*$D$42</f>
        <v>2440.0600000000004</v>
      </c>
      <c r="P55" s="138">
        <f aca="true" t="shared" si="10" ref="P55:P66">O55/12</f>
        <v>203.33833333333337</v>
      </c>
      <c r="Q55" s="139">
        <f aca="true" t="shared" si="11" ref="Q55:Q66">L55*$Q$53</f>
        <v>859.8375</v>
      </c>
      <c r="R55" s="86">
        <f aca="true" t="shared" si="12" ref="R55:R66">C8+Q55</f>
        <v>2451.775</v>
      </c>
      <c r="S55" s="86"/>
    </row>
    <row r="56" spans="2:18" ht="12.75">
      <c r="B56" s="132">
        <v>3</v>
      </c>
      <c r="C56" s="91"/>
      <c r="D56" s="133">
        <f>2906.3*1.01</f>
        <v>2935.3630000000003</v>
      </c>
      <c r="E56" s="134">
        <v>0.8</v>
      </c>
      <c r="F56" s="135">
        <f t="shared" si="1"/>
        <v>2348.2904000000003</v>
      </c>
      <c r="G56" s="136">
        <v>2922</v>
      </c>
      <c r="H56" s="135">
        <f t="shared" si="3"/>
        <v>7044.871200000001</v>
      </c>
      <c r="I56" s="136">
        <f t="shared" si="4"/>
        <v>33355.843584</v>
      </c>
      <c r="J56" s="136">
        <f t="shared" si="2"/>
        <v>41694.80448</v>
      </c>
      <c r="K56" s="136">
        <f t="shared" si="5"/>
        <v>28741.80448</v>
      </c>
      <c r="L56" s="136">
        <f t="shared" si="6"/>
        <v>22993.443584</v>
      </c>
      <c r="M56" s="137">
        <f t="shared" si="7"/>
        <v>30433.843584000006</v>
      </c>
      <c r="N56" s="136">
        <f t="shared" si="8"/>
        <v>20071.443584000004</v>
      </c>
      <c r="O56" s="138">
        <f t="shared" si="9"/>
        <v>1405.0010508800003</v>
      </c>
      <c r="P56" s="138">
        <f t="shared" si="10"/>
        <v>117.08342090666669</v>
      </c>
      <c r="Q56" s="139">
        <f t="shared" si="11"/>
        <v>431.1270672</v>
      </c>
      <c r="R56" s="86">
        <f t="shared" si="12"/>
        <v>1269.3305372000002</v>
      </c>
    </row>
    <row r="57" spans="2:18" ht="12.75">
      <c r="B57" s="132">
        <v>4</v>
      </c>
      <c r="C57" s="91"/>
      <c r="D57" s="133">
        <f>2834.13*1.01</f>
        <v>2862.4713</v>
      </c>
      <c r="E57" s="134">
        <v>0.3</v>
      </c>
      <c r="F57" s="135">
        <f t="shared" si="1"/>
        <v>858.74139</v>
      </c>
      <c r="G57" s="136">
        <v>900</v>
      </c>
      <c r="H57" s="135">
        <f t="shared" si="3"/>
        <v>2576.22417</v>
      </c>
      <c r="I57" s="136">
        <f t="shared" si="4"/>
        <v>12029.288414400002</v>
      </c>
      <c r="J57" s="136">
        <f t="shared" si="2"/>
        <v>40097.628048000006</v>
      </c>
      <c r="K57" s="136">
        <f t="shared" si="5"/>
        <v>27144.628048000006</v>
      </c>
      <c r="L57" s="136">
        <f t="shared" si="6"/>
        <v>8143.388414400001</v>
      </c>
      <c r="M57" s="137">
        <f t="shared" si="7"/>
        <v>11129.288414400002</v>
      </c>
      <c r="N57" s="136">
        <f t="shared" si="8"/>
        <v>7243.388414400002</v>
      </c>
      <c r="O57" s="138">
        <f t="shared" si="9"/>
        <v>507.0371890080002</v>
      </c>
      <c r="P57" s="138">
        <f t="shared" si="10"/>
        <v>42.25309908400002</v>
      </c>
      <c r="Q57" s="139">
        <f t="shared" si="11"/>
        <v>152.68853277000002</v>
      </c>
      <c r="R57" s="86">
        <f t="shared" si="12"/>
        <v>405.02755527</v>
      </c>
    </row>
    <row r="58" spans="2:18" ht="12.75">
      <c r="B58" s="132">
        <v>5</v>
      </c>
      <c r="C58" s="91"/>
      <c r="D58" s="133">
        <f>2100*1.01</f>
        <v>2121</v>
      </c>
      <c r="E58" s="134">
        <v>0.9</v>
      </c>
      <c r="F58" s="135">
        <f t="shared" si="1"/>
        <v>1908.9</v>
      </c>
      <c r="G58" s="136">
        <v>2616</v>
      </c>
      <c r="H58" s="135">
        <f t="shared" si="3"/>
        <v>5726.700000000001</v>
      </c>
      <c r="I58" s="136">
        <f t="shared" si="4"/>
        <v>27355.344000000005</v>
      </c>
      <c r="J58" s="136">
        <f t="shared" si="2"/>
        <v>30394.82666666667</v>
      </c>
      <c r="K58" s="136">
        <f t="shared" si="5"/>
        <v>17441.82666666667</v>
      </c>
      <c r="L58" s="136">
        <f t="shared" si="6"/>
        <v>15697.644000000004</v>
      </c>
      <c r="M58" s="137">
        <f t="shared" si="7"/>
        <v>24739.344000000005</v>
      </c>
      <c r="N58" s="136">
        <f t="shared" si="8"/>
        <v>13081.644000000004</v>
      </c>
      <c r="O58" s="138">
        <f t="shared" si="9"/>
        <v>915.7150800000004</v>
      </c>
      <c r="P58" s="138">
        <f t="shared" si="10"/>
        <v>76.30959000000003</v>
      </c>
      <c r="Q58" s="139">
        <f t="shared" si="11"/>
        <v>294.33082500000006</v>
      </c>
      <c r="R58" s="86">
        <f t="shared" si="12"/>
        <v>764.4008249999999</v>
      </c>
    </row>
    <row r="59" spans="2:18" ht="12.75">
      <c r="B59" s="132">
        <v>6</v>
      </c>
      <c r="C59" s="91"/>
      <c r="D59" s="133">
        <f>2925*1.01</f>
        <v>2954.25</v>
      </c>
      <c r="E59" s="134">
        <v>0.625</v>
      </c>
      <c r="F59" s="135">
        <f t="shared" si="1"/>
        <v>1846.40625</v>
      </c>
      <c r="G59" s="136">
        <v>2247</v>
      </c>
      <c r="H59" s="135">
        <f t="shared" si="3"/>
        <v>5539.21875</v>
      </c>
      <c r="I59" s="136">
        <f t="shared" si="4"/>
        <v>26176.425000000003</v>
      </c>
      <c r="J59" s="136">
        <f t="shared" si="2"/>
        <v>41882.280000000006</v>
      </c>
      <c r="K59" s="136">
        <f t="shared" si="5"/>
        <v>28929.280000000006</v>
      </c>
      <c r="L59" s="136">
        <f t="shared" si="6"/>
        <v>18080.800000000003</v>
      </c>
      <c r="M59" s="137">
        <f t="shared" si="7"/>
        <v>23929.425000000003</v>
      </c>
      <c r="N59" s="136">
        <f t="shared" si="8"/>
        <v>15833.800000000003</v>
      </c>
      <c r="O59" s="138">
        <f t="shared" si="9"/>
        <v>1108.3660000000002</v>
      </c>
      <c r="P59" s="138">
        <f t="shared" si="10"/>
        <v>92.36383333333335</v>
      </c>
      <c r="Q59" s="139">
        <f t="shared" si="11"/>
        <v>339.01500000000004</v>
      </c>
      <c r="R59" s="86">
        <f t="shared" si="12"/>
        <v>968.3112437500001</v>
      </c>
    </row>
    <row r="60" spans="2:18" ht="12.75">
      <c r="B60" s="132">
        <v>7</v>
      </c>
      <c r="C60" s="91"/>
      <c r="D60" s="133">
        <f>3150*1.01</f>
        <v>3181.5</v>
      </c>
      <c r="E60" s="134">
        <v>0.5</v>
      </c>
      <c r="F60" s="135">
        <f t="shared" si="1"/>
        <v>1590.75</v>
      </c>
      <c r="G60" s="136">
        <v>2694</v>
      </c>
      <c r="H60" s="135">
        <f t="shared" si="3"/>
        <v>4772.25</v>
      </c>
      <c r="I60" s="136">
        <f t="shared" si="4"/>
        <v>23310.120000000003</v>
      </c>
      <c r="J60" s="136">
        <f t="shared" si="2"/>
        <v>46620.240000000005</v>
      </c>
      <c r="K60" s="136">
        <f t="shared" si="5"/>
        <v>33667.240000000005</v>
      </c>
      <c r="L60" s="136">
        <f t="shared" si="6"/>
        <v>16833.620000000003</v>
      </c>
      <c r="M60" s="137">
        <f t="shared" si="7"/>
        <v>20616.120000000003</v>
      </c>
      <c r="N60" s="136">
        <f t="shared" si="8"/>
        <v>14139.620000000003</v>
      </c>
      <c r="O60" s="138">
        <f t="shared" si="9"/>
        <v>989.7734000000003</v>
      </c>
      <c r="P60" s="138">
        <f t="shared" si="10"/>
        <v>82.4811166666667</v>
      </c>
      <c r="Q60" s="139">
        <f t="shared" si="11"/>
        <v>315.630375</v>
      </c>
      <c r="R60" s="86">
        <f t="shared" si="12"/>
        <v>848.2559999999999</v>
      </c>
    </row>
    <row r="61" spans="2:18" ht="12.75">
      <c r="B61" s="132">
        <v>8</v>
      </c>
      <c r="C61" s="91"/>
      <c r="D61" s="133">
        <f>4050*1.01</f>
        <v>4090.5</v>
      </c>
      <c r="E61" s="134">
        <v>1</v>
      </c>
      <c r="F61" s="135">
        <f t="shared" si="1"/>
        <v>4090.5</v>
      </c>
      <c r="G61" s="136">
        <v>9200</v>
      </c>
      <c r="H61" s="135">
        <f t="shared" si="3"/>
        <v>12271.5</v>
      </c>
      <c r="I61" s="136">
        <f t="shared" si="4"/>
        <v>58811</v>
      </c>
      <c r="J61" s="136">
        <f t="shared" si="2"/>
        <v>58811</v>
      </c>
      <c r="K61" s="136">
        <f t="shared" si="5"/>
        <v>45858</v>
      </c>
      <c r="L61" s="136">
        <f t="shared" si="6"/>
        <v>45858</v>
      </c>
      <c r="M61" s="137">
        <f t="shared" si="7"/>
        <v>47811</v>
      </c>
      <c r="N61" s="136">
        <f t="shared" si="8"/>
        <v>34858</v>
      </c>
      <c r="O61" s="138">
        <f t="shared" si="9"/>
        <v>2440.0600000000004</v>
      </c>
      <c r="P61" s="138">
        <f t="shared" si="10"/>
        <v>203.33833333333337</v>
      </c>
      <c r="Q61" s="139">
        <f t="shared" si="11"/>
        <v>859.8375</v>
      </c>
      <c r="R61" s="86">
        <f t="shared" si="12"/>
        <v>2451.785</v>
      </c>
    </row>
    <row r="62" spans="2:18" ht="12.75">
      <c r="B62" s="132">
        <v>9</v>
      </c>
      <c r="C62" s="91"/>
      <c r="D62" s="133">
        <f>3736</f>
        <v>3736</v>
      </c>
      <c r="E62" s="134">
        <v>1</v>
      </c>
      <c r="F62" s="135">
        <f t="shared" si="1"/>
        <v>3736</v>
      </c>
      <c r="G62" s="136">
        <v>10526</v>
      </c>
      <c r="H62" s="135">
        <f t="shared" si="3"/>
        <v>11208</v>
      </c>
      <c r="I62" s="136">
        <f t="shared" si="4"/>
        <v>58811</v>
      </c>
      <c r="J62" s="136">
        <f t="shared" si="2"/>
        <v>58811</v>
      </c>
      <c r="K62" s="136">
        <f t="shared" si="5"/>
        <v>45858</v>
      </c>
      <c r="L62" s="136">
        <f t="shared" si="6"/>
        <v>45858</v>
      </c>
      <c r="M62" s="137">
        <f t="shared" si="7"/>
        <v>47811</v>
      </c>
      <c r="N62" s="136">
        <f t="shared" si="8"/>
        <v>34858</v>
      </c>
      <c r="O62" s="138">
        <f t="shared" si="9"/>
        <v>2440.0600000000004</v>
      </c>
      <c r="P62" s="138">
        <f t="shared" si="10"/>
        <v>203.33833333333337</v>
      </c>
      <c r="Q62" s="139">
        <f t="shared" si="11"/>
        <v>859.8375</v>
      </c>
      <c r="R62" s="86">
        <f t="shared" si="12"/>
        <v>2325.21</v>
      </c>
    </row>
    <row r="63" spans="2:18" ht="12.75">
      <c r="B63" s="132">
        <v>10</v>
      </c>
      <c r="C63" s="91"/>
      <c r="D63" s="133">
        <f>2046.66*1.01</f>
        <v>2067.1266</v>
      </c>
      <c r="E63" s="134">
        <v>0.225</v>
      </c>
      <c r="F63" s="135">
        <f t="shared" si="1"/>
        <v>465.10348500000003</v>
      </c>
      <c r="G63" s="136">
        <v>528</v>
      </c>
      <c r="H63" s="135">
        <f t="shared" si="3"/>
        <v>1395.310455</v>
      </c>
      <c r="I63" s="136">
        <f t="shared" si="4"/>
        <v>6555.741165600001</v>
      </c>
      <c r="J63" s="136">
        <f t="shared" si="2"/>
        <v>29136.627402666672</v>
      </c>
      <c r="K63" s="136">
        <f t="shared" si="5"/>
        <v>16183.627402666672</v>
      </c>
      <c r="L63" s="136">
        <f t="shared" si="6"/>
        <v>3641.3161656000016</v>
      </c>
      <c r="M63" s="137">
        <f t="shared" si="7"/>
        <v>6027.741165600001</v>
      </c>
      <c r="N63" s="136">
        <f t="shared" si="8"/>
        <v>3113.316165600001</v>
      </c>
      <c r="O63" s="138">
        <f t="shared" si="9"/>
        <v>217.9321315920001</v>
      </c>
      <c r="P63" s="138">
        <f t="shared" si="10"/>
        <v>18.16101096600001</v>
      </c>
      <c r="Q63" s="139">
        <f t="shared" si="11"/>
        <v>68.27467810500002</v>
      </c>
      <c r="R63" s="86">
        <f t="shared" si="12"/>
        <v>171.63233210500002</v>
      </c>
    </row>
    <row r="64" spans="2:18" ht="12.75">
      <c r="B64" s="132">
        <v>11</v>
      </c>
      <c r="C64" s="92"/>
      <c r="D64" s="133">
        <v>2400</v>
      </c>
      <c r="E64" s="134">
        <v>1</v>
      </c>
      <c r="F64" s="135">
        <f t="shared" si="1"/>
        <v>2400</v>
      </c>
      <c r="G64" s="136">
        <v>675</v>
      </c>
      <c r="H64" s="135">
        <f t="shared" si="3"/>
        <v>7200</v>
      </c>
      <c r="I64" s="136">
        <f t="shared" si="4"/>
        <v>31779.000000000004</v>
      </c>
      <c r="J64" s="136">
        <f t="shared" si="2"/>
        <v>31779.000000000004</v>
      </c>
      <c r="K64" s="136">
        <f t="shared" si="5"/>
        <v>18826.000000000004</v>
      </c>
      <c r="L64" s="136">
        <f t="shared" si="6"/>
        <v>18826.000000000004</v>
      </c>
      <c r="M64" s="137">
        <f t="shared" si="7"/>
        <v>31104.000000000004</v>
      </c>
      <c r="N64" s="136">
        <f t="shared" si="8"/>
        <v>18151.000000000004</v>
      </c>
      <c r="O64" s="138">
        <f t="shared" si="9"/>
        <v>1270.5700000000004</v>
      </c>
      <c r="P64" s="138">
        <f t="shared" si="10"/>
        <v>105.88083333333337</v>
      </c>
      <c r="Q64" s="139">
        <f t="shared" si="11"/>
        <v>352.98750000000007</v>
      </c>
      <c r="R64" s="86">
        <f t="shared" si="12"/>
        <v>631.7343400000001</v>
      </c>
    </row>
    <row r="65" spans="2:19" ht="12.75">
      <c r="B65" s="132">
        <v>12</v>
      </c>
      <c r="C65" s="91"/>
      <c r="D65" s="133">
        <f>3267.04*1.01</f>
        <v>3299.7104</v>
      </c>
      <c r="E65" s="134">
        <v>1</v>
      </c>
      <c r="F65" s="135">
        <f t="shared" si="1"/>
        <v>3299.7104</v>
      </c>
      <c r="G65" s="136">
        <v>3500</v>
      </c>
      <c r="H65" s="135">
        <f t="shared" si="3"/>
        <v>9899.1312</v>
      </c>
      <c r="I65" s="136">
        <f t="shared" si="4"/>
        <v>46264.246784</v>
      </c>
      <c r="J65" s="136">
        <f t="shared" si="2"/>
        <v>46264.246784</v>
      </c>
      <c r="K65" s="136">
        <f t="shared" si="5"/>
        <v>33311.246784</v>
      </c>
      <c r="L65" s="136">
        <f t="shared" si="6"/>
        <v>33311.246784</v>
      </c>
      <c r="M65" s="137">
        <f t="shared" si="7"/>
        <v>42764.246784</v>
      </c>
      <c r="N65" s="136">
        <f t="shared" si="8"/>
        <v>29811.246784000003</v>
      </c>
      <c r="O65" s="138">
        <f t="shared" si="9"/>
        <v>2086.7872748800005</v>
      </c>
      <c r="P65" s="138">
        <f t="shared" si="10"/>
        <v>173.89893957333337</v>
      </c>
      <c r="Q65" s="139">
        <f t="shared" si="11"/>
        <v>624.5858772</v>
      </c>
      <c r="R65" s="86">
        <f t="shared" si="12"/>
        <v>1857.1378472000001</v>
      </c>
      <c r="S65" s="86"/>
    </row>
    <row r="66" spans="2:18" ht="12.75">
      <c r="B66" s="132">
        <v>13</v>
      </c>
      <c r="C66" s="91"/>
      <c r="D66" s="133">
        <f>3275*1.01</f>
        <v>3307.75</v>
      </c>
      <c r="E66" s="134">
        <v>1</v>
      </c>
      <c r="F66" s="135">
        <f t="shared" si="1"/>
        <v>3307.75</v>
      </c>
      <c r="G66" s="136">
        <v>7379</v>
      </c>
      <c r="H66" s="135">
        <f t="shared" si="3"/>
        <v>9923.25</v>
      </c>
      <c r="I66" s="136">
        <f t="shared" si="4"/>
        <v>50247.44</v>
      </c>
      <c r="J66" s="136">
        <f t="shared" si="2"/>
        <v>50247.44</v>
      </c>
      <c r="K66" s="136">
        <f t="shared" si="5"/>
        <v>37294.44</v>
      </c>
      <c r="L66" s="136">
        <f t="shared" si="6"/>
        <v>37294.44</v>
      </c>
      <c r="M66" s="137">
        <f t="shared" si="7"/>
        <v>42868.44</v>
      </c>
      <c r="N66" s="136">
        <f t="shared" si="8"/>
        <v>29915.440000000002</v>
      </c>
      <c r="O66" s="138">
        <f t="shared" si="9"/>
        <v>2094.0808</v>
      </c>
      <c r="P66" s="138">
        <f t="shared" si="10"/>
        <v>174.50673333333336</v>
      </c>
      <c r="Q66" s="139">
        <f t="shared" si="11"/>
        <v>699.27075</v>
      </c>
      <c r="R66" s="86">
        <f t="shared" si="12"/>
        <v>1987.8070000000002</v>
      </c>
    </row>
  </sheetData>
  <sheetProtection/>
  <mergeCells count="5">
    <mergeCell ref="H38:H39"/>
    <mergeCell ref="I38:I39"/>
    <mergeCell ref="J38:J39"/>
    <mergeCell ref="K38:K39"/>
    <mergeCell ref="L38:L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F11" sqref="F11"/>
    </sheetView>
  </sheetViews>
  <sheetFormatPr defaultColWidth="9.140625" defaultRowHeight="12.75"/>
  <cols>
    <col min="1" max="1" width="23.57421875" style="0" customWidth="1"/>
    <col min="2" max="2" width="11.8515625" style="0" customWidth="1"/>
    <col min="3" max="3" width="12.00390625" style="0" customWidth="1"/>
    <col min="4" max="4" width="10.7109375" style="0" customWidth="1"/>
    <col min="6" max="6" width="10.8515625" style="0" bestFit="1" customWidth="1"/>
  </cols>
  <sheetData>
    <row r="1" spans="1:5" ht="12.75">
      <c r="A1" t="s">
        <v>205</v>
      </c>
      <c r="C1" t="s">
        <v>54</v>
      </c>
      <c r="D1" s="58">
        <v>41640</v>
      </c>
      <c r="E1" t="s">
        <v>92</v>
      </c>
    </row>
    <row r="3" spans="1:6" ht="12.75">
      <c r="A3" t="s">
        <v>334</v>
      </c>
      <c r="B3" t="s">
        <v>155</v>
      </c>
      <c r="C3" t="s">
        <v>98</v>
      </c>
      <c r="D3" t="s">
        <v>11</v>
      </c>
      <c r="E3" t="s">
        <v>296</v>
      </c>
      <c r="F3" t="s">
        <v>454</v>
      </c>
    </row>
    <row r="4" spans="1:6" ht="12.75">
      <c r="A4" s="58">
        <f>input_geboortedatum</f>
        <v>20821</v>
      </c>
      <c r="B4" s="58">
        <f ca="1">IF(input_datum_in_dienst&gt;(DATE(YEAR(TODAY()),1,1)),input_datum_in_dienst,(DATE(YEAR(TODAY()),1,1)))</f>
        <v>43466</v>
      </c>
      <c r="C4">
        <f>ROUND((((YEAR(B4)-YEAR(A4))-1)+((MONTH(B4)-MONTH(A4))+12)/12),2)</f>
        <v>62</v>
      </c>
      <c r="D4">
        <f>FLOOR(C4,1)</f>
        <v>62</v>
      </c>
      <c r="E4">
        <f>ROUND(((C4-D4)*12),0)</f>
        <v>0</v>
      </c>
      <c r="F4" t="str">
        <f>input_geslacht</f>
        <v>Vrouw</v>
      </c>
    </row>
    <row r="6" spans="3:6" ht="12.75">
      <c r="C6" t="s">
        <v>455</v>
      </c>
      <c r="D6" t="s">
        <v>397</v>
      </c>
      <c r="F6" t="s">
        <v>457</v>
      </c>
    </row>
    <row r="7" spans="1:4" ht="12.75">
      <c r="A7" s="65" t="s">
        <v>344</v>
      </c>
      <c r="C7" s="71" t="s">
        <v>452</v>
      </c>
      <c r="D7" s="71" t="s">
        <v>453</v>
      </c>
    </row>
    <row r="8" spans="1:4" ht="12.75">
      <c r="A8" s="65" t="s">
        <v>136</v>
      </c>
      <c r="B8">
        <f>$D$4</f>
        <v>62</v>
      </c>
      <c r="C8" s="71">
        <f>IF(F4=C7,VLOOKUP(B8,'Tarief NN FIP'!$A$15:$J$66,5),0)</f>
        <v>0</v>
      </c>
      <c r="D8" s="85">
        <f>IF(F4=D7,VLOOKUP(B8,'Tarief NN FIP'!$A$15:$J$66,6),0)</f>
        <v>15755</v>
      </c>
    </row>
    <row r="9" spans="1:4" ht="12.75">
      <c r="A9" s="65"/>
      <c r="B9">
        <f>B8+1</f>
        <v>63</v>
      </c>
      <c r="C9" s="71">
        <f>IF(F4="man",VLOOKUP(B9,'Tarief NN FIP'!$A$15:$J$66,5),0)</f>
        <v>0</v>
      </c>
      <c r="D9" s="85">
        <f>IF(F4=D7,VLOOKUP(B9,'Tarief NN FIP'!$A$15:$J$66,6),0)</f>
        <v>16309</v>
      </c>
    </row>
    <row r="10" spans="1:4" ht="12.75">
      <c r="A10" s="65" t="s">
        <v>456</v>
      </c>
      <c r="B10">
        <f>C4-B8</f>
        <v>0</v>
      </c>
      <c r="C10" s="71">
        <f>C8+(C9-C8)*B10</f>
        <v>0</v>
      </c>
      <c r="D10" s="85">
        <f>D8+(D9-D8)*B10</f>
        <v>15755</v>
      </c>
    </row>
    <row r="11" spans="1:6" ht="12.75">
      <c r="A11" s="71" t="s">
        <v>170</v>
      </c>
      <c r="B11" s="160">
        <f>'Bereken OP|PP|WzP'!M7</f>
        <v>859.8375</v>
      </c>
      <c r="C11" s="160">
        <f>($B11/1000)*C10</f>
        <v>0</v>
      </c>
      <c r="D11" s="160">
        <f>($B11/1000)*D10</f>
        <v>13546.7398125</v>
      </c>
      <c r="E11" s="160"/>
      <c r="F11" s="162">
        <f>SUM(C11:D11)</f>
        <v>13546.7398125</v>
      </c>
    </row>
    <row r="13" spans="1:4" ht="12.75">
      <c r="A13" s="65" t="s">
        <v>69</v>
      </c>
      <c r="C13" s="71" t="s">
        <v>143</v>
      </c>
      <c r="D13" s="71" t="s">
        <v>62</v>
      </c>
    </row>
    <row r="14" spans="1:4" ht="12.75">
      <c r="A14" s="65" t="s">
        <v>136</v>
      </c>
      <c r="B14">
        <f>$D$4</f>
        <v>62</v>
      </c>
      <c r="C14" s="71">
        <f>IF($F$4=$C$7,VLOOKUP(B14,'Tarief NN FIP'!$A$15:$J$66,7),0)</f>
        <v>0</v>
      </c>
      <c r="D14" s="71">
        <f>IF($F$4=$D$7,VLOOKUP(B14,'Tarief NN FIP'!$A$15:$J$66,9),0)</f>
        <v>103</v>
      </c>
    </row>
    <row r="15" spans="1:4" ht="12.75">
      <c r="A15" s="65"/>
      <c r="B15">
        <f>B14+1</f>
        <v>63</v>
      </c>
      <c r="C15" s="71">
        <f>IF($F$4=$C$7,VLOOKUP(B15,'Tarief NN FIP'!$A$15:$J$66,7),0)</f>
        <v>0</v>
      </c>
      <c r="D15" s="71">
        <f>IF($F$4=$D$7,VLOOKUP(B15,'Tarief NN FIP'!$A$15:$J$66,9),0)</f>
        <v>112</v>
      </c>
    </row>
    <row r="16" spans="1:4" ht="12.75">
      <c r="A16" s="65" t="s">
        <v>456</v>
      </c>
      <c r="B16">
        <f>C4-B14</f>
        <v>0</v>
      </c>
      <c r="C16" s="71">
        <f>C14+(C15-C14)*B16</f>
        <v>0</v>
      </c>
      <c r="D16" s="85">
        <f>D14+(D15-D14)*B16</f>
        <v>103</v>
      </c>
    </row>
    <row r="17" spans="1:6" ht="15">
      <c r="A17" s="71" t="s">
        <v>464</v>
      </c>
      <c r="B17" s="72">
        <f>'Bereken OP|PP|WzP'!O11</f>
        <v>0</v>
      </c>
      <c r="C17" s="160">
        <f>($B17/1000)*C16</f>
        <v>0</v>
      </c>
      <c r="D17" s="160">
        <f>($B17/1000)*D16</f>
        <v>0</v>
      </c>
      <c r="F17" s="162">
        <f>SUM(C17:D17)</f>
        <v>0</v>
      </c>
    </row>
    <row r="18" spans="1:4" ht="15">
      <c r="A18" s="71"/>
      <c r="B18" s="72"/>
      <c r="C18" s="72"/>
      <c r="D18" s="72"/>
    </row>
    <row r="19" spans="1:2" ht="12.75">
      <c r="A19" s="71"/>
      <c r="B19" s="84"/>
    </row>
    <row r="20" spans="1:4" ht="12.75">
      <c r="A20" s="65" t="s">
        <v>69</v>
      </c>
      <c r="C20" s="71" t="s">
        <v>143</v>
      </c>
      <c r="D20" s="71" t="s">
        <v>62</v>
      </c>
    </row>
    <row r="21" spans="1:4" ht="12.75">
      <c r="A21" s="65" t="s">
        <v>136</v>
      </c>
      <c r="B21">
        <f>$D$4</f>
        <v>62</v>
      </c>
      <c r="C21" s="71">
        <f>IF($F$4=$C$7,VLOOKUP(B21,'Tarief NN FIP'!$A$15:$J$66,8),0)</f>
        <v>0</v>
      </c>
      <c r="D21" s="71">
        <f>IF($F$4=$D$7,VLOOKUP(B21,'Tarief NN FIP'!$A$15:$J$66,10),0)</f>
        <v>21</v>
      </c>
    </row>
    <row r="22" spans="1:4" ht="12.75">
      <c r="A22" s="65"/>
      <c r="B22">
        <f>B21+1</f>
        <v>63</v>
      </c>
      <c r="C22" s="71">
        <f>IF($F$4=$C$7,VLOOKUP(B22,'Tarief NN FIP'!$A$15:$J$66,8),0)</f>
        <v>0</v>
      </c>
      <c r="D22" s="71">
        <f>IF($F$4=$D$7,VLOOKUP(B22,'Tarief NN FIP'!$A$15:$J$66,10),0)</f>
        <v>21</v>
      </c>
    </row>
    <row r="23" spans="1:4" ht="12.75">
      <c r="A23" s="65" t="s">
        <v>456</v>
      </c>
      <c r="B23">
        <f>C4-B21</f>
        <v>0</v>
      </c>
      <c r="C23" s="71">
        <f>C21+(C22-C21)*B23</f>
        <v>0</v>
      </c>
      <c r="D23" s="85">
        <f>D21+(D22-D21)*B23</f>
        <v>21</v>
      </c>
    </row>
    <row r="24" spans="1:6" ht="15">
      <c r="A24" s="71" t="s">
        <v>464</v>
      </c>
      <c r="B24" s="72">
        <f>'Bereken OP|PP|WzP'!O15</f>
        <v>0</v>
      </c>
      <c r="C24" s="160">
        <f>($B24/1000)*C23</f>
        <v>0</v>
      </c>
      <c r="D24" s="160">
        <f>($B24/1000)*D23</f>
        <v>0</v>
      </c>
      <c r="F24" s="162">
        <f>SUM(C24:D24)</f>
        <v>0</v>
      </c>
    </row>
    <row r="25" spans="1:4" ht="15">
      <c r="A25" s="71"/>
      <c r="B25" s="72"/>
      <c r="C25" s="72"/>
      <c r="D25" s="72"/>
    </row>
    <row r="27" spans="1:4" ht="12.75">
      <c r="A27" s="71"/>
      <c r="C27" s="73"/>
      <c r="D27" s="73"/>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66"/>
  <sheetViews>
    <sheetView zoomScalePageLayoutView="0" workbookViewId="0" topLeftCell="A13">
      <selection activeCell="H14" sqref="H14"/>
    </sheetView>
  </sheetViews>
  <sheetFormatPr defaultColWidth="9.140625" defaultRowHeight="12.75"/>
  <cols>
    <col min="1" max="1" width="12.00390625" style="0" customWidth="1"/>
    <col min="2" max="5" width="10.00390625" style="0" customWidth="1"/>
    <col min="6" max="6" width="12.140625" style="0" bestFit="1" customWidth="1"/>
    <col min="7" max="8" width="10.00390625" style="0" customWidth="1"/>
    <col min="9" max="10" width="12.28125" style="0" customWidth="1"/>
    <col min="11" max="13" width="10.00390625" style="0" customWidth="1"/>
  </cols>
  <sheetData>
    <row r="1" spans="1:2" ht="12.75">
      <c r="A1" s="158" t="s">
        <v>370</v>
      </c>
      <c r="B1" s="71"/>
    </row>
    <row r="2" spans="1:2" ht="12.75">
      <c r="A2" s="158" t="s">
        <v>433</v>
      </c>
      <c r="B2" s="71"/>
    </row>
    <row r="3" spans="1:2" ht="12.75">
      <c r="A3" s="158" t="s">
        <v>434</v>
      </c>
      <c r="B3" s="158" t="s">
        <v>445</v>
      </c>
    </row>
    <row r="4" spans="1:2" ht="12.75">
      <c r="A4" s="158" t="s">
        <v>435</v>
      </c>
      <c r="B4" s="71" t="s">
        <v>444</v>
      </c>
    </row>
    <row r="5" spans="1:2" ht="12.75">
      <c r="A5" s="158" t="s">
        <v>436</v>
      </c>
      <c r="B5" s="71" t="s">
        <v>462</v>
      </c>
    </row>
    <row r="6" spans="1:2" ht="12.75">
      <c r="A6" s="158" t="s">
        <v>437</v>
      </c>
      <c r="B6" s="71" t="s">
        <v>463</v>
      </c>
    </row>
    <row r="7" spans="1:2" ht="12.75">
      <c r="A7" s="158" t="s">
        <v>438</v>
      </c>
      <c r="B7" s="71" t="s">
        <v>446</v>
      </c>
    </row>
    <row r="8" spans="1:2" ht="12.75">
      <c r="A8" s="158" t="s">
        <v>439</v>
      </c>
      <c r="B8" s="71" t="s">
        <v>447</v>
      </c>
    </row>
    <row r="9" spans="1:2" ht="12.75">
      <c r="A9" s="158" t="s">
        <v>440</v>
      </c>
      <c r="B9" s="71" t="s">
        <v>448</v>
      </c>
    </row>
    <row r="10" spans="1:2" ht="12.75">
      <c r="A10" s="158" t="s">
        <v>441</v>
      </c>
      <c r="B10" s="71" t="s">
        <v>449</v>
      </c>
    </row>
    <row r="11" spans="1:2" ht="12.75">
      <c r="A11" s="158" t="s">
        <v>442</v>
      </c>
      <c r="B11" s="71" t="s">
        <v>450</v>
      </c>
    </row>
    <row r="12" spans="1:13" ht="12.75">
      <c r="A12" s="158" t="s">
        <v>443</v>
      </c>
      <c r="B12" s="71" t="s">
        <v>451</v>
      </c>
      <c r="C12" s="68"/>
      <c r="D12" s="68"/>
      <c r="E12" s="68"/>
      <c r="F12" s="68"/>
      <c r="G12" s="68"/>
      <c r="H12" s="68"/>
      <c r="I12" s="68"/>
      <c r="J12" s="68"/>
      <c r="K12" s="68"/>
      <c r="L12" s="68"/>
      <c r="M12" s="68"/>
    </row>
    <row r="13" spans="1:13" ht="12.75">
      <c r="A13" s="158"/>
      <c r="B13" s="71"/>
      <c r="C13" s="68"/>
      <c r="D13" s="68"/>
      <c r="E13" s="68" t="s">
        <v>452</v>
      </c>
      <c r="F13" s="68" t="s">
        <v>453</v>
      </c>
      <c r="G13" s="68" t="s">
        <v>458</v>
      </c>
      <c r="H13" s="68" t="s">
        <v>459</v>
      </c>
      <c r="I13" s="68" t="s">
        <v>460</v>
      </c>
      <c r="J13" s="68" t="s">
        <v>461</v>
      </c>
      <c r="K13" s="68"/>
      <c r="L13" s="68"/>
      <c r="M13" s="68"/>
    </row>
    <row r="14" spans="1:13" ht="12.75">
      <c r="A14" s="68" t="s">
        <v>434</v>
      </c>
      <c r="B14" s="68" t="s">
        <v>435</v>
      </c>
      <c r="C14" s="68" t="s">
        <v>436</v>
      </c>
      <c r="D14" s="68" t="s">
        <v>437</v>
      </c>
      <c r="E14" s="68" t="s">
        <v>438</v>
      </c>
      <c r="F14" s="68" t="s">
        <v>439</v>
      </c>
      <c r="G14" s="68" t="s">
        <v>440</v>
      </c>
      <c r="H14" s="68" t="s">
        <v>441</v>
      </c>
      <c r="I14" s="68" t="s">
        <v>442</v>
      </c>
      <c r="J14" s="68" t="s">
        <v>443</v>
      </c>
      <c r="K14" s="68"/>
      <c r="L14" s="68"/>
      <c r="M14" s="68"/>
    </row>
    <row r="15" spans="1:13" ht="12.75">
      <c r="A15" s="69">
        <v>16</v>
      </c>
      <c r="B15" s="70">
        <v>51</v>
      </c>
      <c r="C15" s="159"/>
      <c r="D15" s="159"/>
      <c r="E15" s="70">
        <v>3571</v>
      </c>
      <c r="F15" s="70">
        <v>3875</v>
      </c>
      <c r="G15" s="161">
        <v>4</v>
      </c>
      <c r="H15" s="161">
        <v>28</v>
      </c>
      <c r="I15" s="161">
        <v>4</v>
      </c>
      <c r="J15" s="161">
        <v>21</v>
      </c>
      <c r="K15" s="70"/>
      <c r="L15" s="70"/>
      <c r="M15" s="70"/>
    </row>
    <row r="16" spans="1:13" ht="12.75">
      <c r="A16" s="69">
        <v>17</v>
      </c>
      <c r="B16" s="70">
        <v>50</v>
      </c>
      <c r="C16" s="159"/>
      <c r="D16" s="159"/>
      <c r="E16" s="70">
        <v>3679</v>
      </c>
      <c r="F16" s="70">
        <v>3992</v>
      </c>
      <c r="G16" s="161">
        <v>4</v>
      </c>
      <c r="H16" s="161">
        <v>28</v>
      </c>
      <c r="I16" s="161">
        <v>4</v>
      </c>
      <c r="J16" s="161">
        <v>21</v>
      </c>
      <c r="K16" s="70"/>
      <c r="L16" s="70"/>
      <c r="M16" s="70"/>
    </row>
    <row r="17" spans="1:13" ht="12.75">
      <c r="A17" s="69">
        <v>18</v>
      </c>
      <c r="B17" s="70">
        <v>49</v>
      </c>
      <c r="C17" s="159"/>
      <c r="D17" s="159"/>
      <c r="E17" s="70">
        <v>3790</v>
      </c>
      <c r="F17" s="70">
        <v>4111</v>
      </c>
      <c r="G17" s="161">
        <v>4</v>
      </c>
      <c r="H17" s="161">
        <v>28</v>
      </c>
      <c r="I17" s="161">
        <v>4</v>
      </c>
      <c r="J17" s="161">
        <v>21</v>
      </c>
      <c r="K17" s="70"/>
      <c r="L17" s="70"/>
      <c r="M17" s="70"/>
    </row>
    <row r="18" spans="1:13" ht="12.75">
      <c r="A18" s="69">
        <v>19</v>
      </c>
      <c r="B18" s="70">
        <v>48</v>
      </c>
      <c r="C18" s="159"/>
      <c r="D18" s="159"/>
      <c r="E18" s="70">
        <v>3902</v>
      </c>
      <c r="F18" s="70">
        <v>4236</v>
      </c>
      <c r="G18" s="161">
        <v>4</v>
      </c>
      <c r="H18" s="161">
        <v>28</v>
      </c>
      <c r="I18" s="161">
        <v>4</v>
      </c>
      <c r="J18" s="161">
        <v>21</v>
      </c>
      <c r="K18" s="70"/>
      <c r="L18" s="70"/>
      <c r="M18" s="70"/>
    </row>
    <row r="19" spans="1:13" ht="12.75">
      <c r="A19" s="69">
        <v>20</v>
      </c>
      <c r="B19" s="70">
        <v>47</v>
      </c>
      <c r="C19" s="159"/>
      <c r="D19" s="159"/>
      <c r="E19" s="70">
        <v>4022</v>
      </c>
      <c r="F19" s="70">
        <v>4363</v>
      </c>
      <c r="G19" s="161">
        <v>8</v>
      </c>
      <c r="H19" s="161">
        <v>28</v>
      </c>
      <c r="I19" s="161">
        <v>6</v>
      </c>
      <c r="J19" s="161">
        <v>21</v>
      </c>
      <c r="K19" s="70"/>
      <c r="L19" s="70"/>
      <c r="M19" s="70"/>
    </row>
    <row r="20" spans="1:13" ht="12.75">
      <c r="A20" s="69">
        <v>21</v>
      </c>
      <c r="B20" s="70">
        <v>46</v>
      </c>
      <c r="C20" s="159"/>
      <c r="D20" s="159"/>
      <c r="E20" s="70">
        <v>4142</v>
      </c>
      <c r="F20" s="70">
        <v>4495</v>
      </c>
      <c r="G20" s="161">
        <v>8</v>
      </c>
      <c r="H20" s="161">
        <v>28</v>
      </c>
      <c r="I20" s="161">
        <v>6</v>
      </c>
      <c r="J20" s="161">
        <v>21</v>
      </c>
      <c r="K20" s="70"/>
      <c r="L20" s="70"/>
      <c r="M20" s="70"/>
    </row>
    <row r="21" spans="1:13" ht="12.75">
      <c r="A21" s="69">
        <v>22</v>
      </c>
      <c r="B21" s="70">
        <v>45</v>
      </c>
      <c r="C21" s="159"/>
      <c r="D21" s="159"/>
      <c r="E21" s="70">
        <v>4268</v>
      </c>
      <c r="F21" s="70">
        <v>4631</v>
      </c>
      <c r="G21" s="161">
        <v>8</v>
      </c>
      <c r="H21" s="161">
        <v>28</v>
      </c>
      <c r="I21" s="161">
        <v>6</v>
      </c>
      <c r="J21" s="161">
        <v>21</v>
      </c>
      <c r="K21" s="70"/>
      <c r="L21" s="70"/>
      <c r="M21" s="70"/>
    </row>
    <row r="22" spans="1:13" ht="12.75">
      <c r="A22" s="69">
        <v>23</v>
      </c>
      <c r="B22" s="70">
        <v>44</v>
      </c>
      <c r="C22" s="159"/>
      <c r="D22" s="159"/>
      <c r="E22" s="70">
        <v>4396</v>
      </c>
      <c r="F22" s="70">
        <v>4771</v>
      </c>
      <c r="G22" s="161">
        <v>8</v>
      </c>
      <c r="H22" s="161">
        <v>28</v>
      </c>
      <c r="I22" s="161">
        <v>6</v>
      </c>
      <c r="J22" s="161">
        <v>21</v>
      </c>
      <c r="K22" s="70"/>
      <c r="L22" s="70"/>
      <c r="M22" s="70"/>
    </row>
    <row r="23" spans="1:13" ht="12.75">
      <c r="A23" s="69">
        <v>24</v>
      </c>
      <c r="B23" s="70">
        <v>43</v>
      </c>
      <c r="C23" s="159"/>
      <c r="D23" s="159"/>
      <c r="E23" s="70">
        <v>4529</v>
      </c>
      <c r="F23" s="70">
        <v>4913</v>
      </c>
      <c r="G23" s="161">
        <v>8</v>
      </c>
      <c r="H23" s="161">
        <v>28</v>
      </c>
      <c r="I23" s="161">
        <v>6</v>
      </c>
      <c r="J23" s="161">
        <v>21</v>
      </c>
      <c r="K23" s="70"/>
      <c r="L23" s="70"/>
      <c r="M23" s="70"/>
    </row>
    <row r="24" spans="1:13" ht="12.75">
      <c r="A24" s="69">
        <v>25</v>
      </c>
      <c r="B24" s="70">
        <v>42</v>
      </c>
      <c r="C24" s="159"/>
      <c r="D24" s="159"/>
      <c r="E24" s="70">
        <v>4665</v>
      </c>
      <c r="F24" s="70">
        <v>5062</v>
      </c>
      <c r="G24" s="161">
        <v>8</v>
      </c>
      <c r="H24" s="161">
        <v>28</v>
      </c>
      <c r="I24" s="161">
        <v>6</v>
      </c>
      <c r="J24" s="161">
        <v>21</v>
      </c>
      <c r="K24" s="70"/>
      <c r="L24" s="70"/>
      <c r="M24" s="70"/>
    </row>
    <row r="25" spans="1:13" ht="12.75">
      <c r="A25" s="69">
        <v>26</v>
      </c>
      <c r="B25" s="70">
        <v>41</v>
      </c>
      <c r="C25" s="159"/>
      <c r="D25" s="159"/>
      <c r="E25" s="70">
        <v>4807</v>
      </c>
      <c r="F25" s="70">
        <v>5215</v>
      </c>
      <c r="G25" s="161">
        <v>8</v>
      </c>
      <c r="H25" s="161">
        <v>28</v>
      </c>
      <c r="I25" s="161">
        <v>6</v>
      </c>
      <c r="J25" s="161">
        <v>21</v>
      </c>
      <c r="K25" s="70"/>
      <c r="L25" s="70"/>
      <c r="M25" s="70"/>
    </row>
    <row r="26" spans="1:13" ht="12.75">
      <c r="A26" s="69">
        <v>27</v>
      </c>
      <c r="B26" s="70">
        <v>40</v>
      </c>
      <c r="C26" s="159"/>
      <c r="D26" s="159"/>
      <c r="E26" s="70">
        <v>4952</v>
      </c>
      <c r="F26" s="70">
        <v>5371</v>
      </c>
      <c r="G26" s="161">
        <v>6</v>
      </c>
      <c r="H26" s="161">
        <v>28</v>
      </c>
      <c r="I26" s="161">
        <v>6</v>
      </c>
      <c r="J26" s="161">
        <v>21</v>
      </c>
      <c r="K26" s="70"/>
      <c r="L26" s="70"/>
      <c r="M26" s="70"/>
    </row>
    <row r="27" spans="1:13" ht="12.75">
      <c r="A27" s="69">
        <v>28</v>
      </c>
      <c r="B27" s="70">
        <v>39</v>
      </c>
      <c r="C27" s="159"/>
      <c r="D27" s="159"/>
      <c r="E27" s="70">
        <v>5100</v>
      </c>
      <c r="F27" s="70">
        <v>5534</v>
      </c>
      <c r="G27" s="161">
        <v>6</v>
      </c>
      <c r="H27" s="161">
        <v>28</v>
      </c>
      <c r="I27" s="161">
        <v>6</v>
      </c>
      <c r="J27" s="161">
        <v>21</v>
      </c>
      <c r="K27" s="70"/>
      <c r="L27" s="70"/>
      <c r="M27" s="70"/>
    </row>
    <row r="28" spans="1:13" ht="12.75">
      <c r="A28" s="69">
        <v>29</v>
      </c>
      <c r="B28" s="70">
        <v>38</v>
      </c>
      <c r="C28" s="159"/>
      <c r="D28" s="159"/>
      <c r="E28" s="70">
        <v>5254</v>
      </c>
      <c r="F28" s="70">
        <v>5700</v>
      </c>
      <c r="G28" s="161">
        <v>6</v>
      </c>
      <c r="H28" s="161">
        <v>28</v>
      </c>
      <c r="I28" s="161">
        <v>6</v>
      </c>
      <c r="J28" s="161">
        <v>21</v>
      </c>
      <c r="K28" s="70"/>
      <c r="L28" s="70"/>
      <c r="M28" s="70"/>
    </row>
    <row r="29" spans="1:13" ht="12.75">
      <c r="A29" s="69">
        <v>30</v>
      </c>
      <c r="B29" s="70">
        <v>37</v>
      </c>
      <c r="C29" s="159"/>
      <c r="D29" s="159"/>
      <c r="E29" s="70">
        <v>5413</v>
      </c>
      <c r="F29" s="70">
        <v>5874</v>
      </c>
      <c r="G29" s="161">
        <v>6</v>
      </c>
      <c r="H29" s="161">
        <v>28</v>
      </c>
      <c r="I29" s="161">
        <v>6</v>
      </c>
      <c r="J29" s="161">
        <v>21</v>
      </c>
      <c r="K29" s="70"/>
      <c r="L29" s="70"/>
      <c r="M29" s="70"/>
    </row>
    <row r="30" spans="1:13" ht="12.75">
      <c r="A30" s="69">
        <v>31</v>
      </c>
      <c r="B30" s="70">
        <v>36</v>
      </c>
      <c r="C30" s="159"/>
      <c r="D30" s="159"/>
      <c r="E30" s="70">
        <v>5578</v>
      </c>
      <c r="F30" s="70">
        <v>6050</v>
      </c>
      <c r="G30" s="161">
        <v>6</v>
      </c>
      <c r="H30" s="161">
        <v>28</v>
      </c>
      <c r="I30" s="161">
        <v>6</v>
      </c>
      <c r="J30" s="161">
        <v>21</v>
      </c>
      <c r="K30" s="70"/>
      <c r="L30" s="70"/>
      <c r="M30" s="70"/>
    </row>
    <row r="31" spans="1:13" ht="12.75">
      <c r="A31" s="69">
        <v>32</v>
      </c>
      <c r="B31" s="70">
        <v>35</v>
      </c>
      <c r="C31" s="159"/>
      <c r="D31" s="159"/>
      <c r="E31" s="70">
        <v>5746</v>
      </c>
      <c r="F31" s="70">
        <v>6233</v>
      </c>
      <c r="G31" s="161">
        <v>6</v>
      </c>
      <c r="H31" s="161">
        <v>28</v>
      </c>
      <c r="I31" s="161">
        <v>6</v>
      </c>
      <c r="J31" s="161">
        <v>21</v>
      </c>
      <c r="K31" s="70"/>
      <c r="L31" s="70"/>
      <c r="M31" s="70"/>
    </row>
    <row r="32" spans="1:13" ht="12.75">
      <c r="A32" s="69">
        <v>33</v>
      </c>
      <c r="B32" s="70">
        <v>34</v>
      </c>
      <c r="C32" s="159"/>
      <c r="D32" s="159"/>
      <c r="E32" s="70">
        <v>5919</v>
      </c>
      <c r="F32" s="70">
        <v>6422</v>
      </c>
      <c r="G32" s="161">
        <v>10</v>
      </c>
      <c r="H32" s="161">
        <v>28</v>
      </c>
      <c r="I32" s="161">
        <v>9</v>
      </c>
      <c r="J32" s="161">
        <v>21</v>
      </c>
      <c r="K32" s="70"/>
      <c r="L32" s="70"/>
      <c r="M32" s="70"/>
    </row>
    <row r="33" spans="1:13" ht="12.75">
      <c r="A33" s="69">
        <v>34</v>
      </c>
      <c r="B33" s="70">
        <v>33</v>
      </c>
      <c r="C33" s="159"/>
      <c r="D33" s="159"/>
      <c r="E33" s="70">
        <v>6099</v>
      </c>
      <c r="F33" s="70">
        <v>6615</v>
      </c>
      <c r="G33" s="161">
        <v>10</v>
      </c>
      <c r="H33" s="161">
        <v>28</v>
      </c>
      <c r="I33" s="161">
        <v>9</v>
      </c>
      <c r="J33" s="161">
        <v>21</v>
      </c>
      <c r="K33" s="70"/>
      <c r="L33" s="70"/>
      <c r="M33" s="70"/>
    </row>
    <row r="34" spans="1:13" ht="12.75">
      <c r="A34" s="69">
        <v>35</v>
      </c>
      <c r="B34" s="70">
        <v>32</v>
      </c>
      <c r="C34" s="159"/>
      <c r="D34" s="159"/>
      <c r="E34" s="70">
        <v>6283</v>
      </c>
      <c r="F34" s="70">
        <v>6815</v>
      </c>
      <c r="G34" s="161">
        <v>10</v>
      </c>
      <c r="H34" s="161">
        <v>28</v>
      </c>
      <c r="I34" s="161">
        <v>9</v>
      </c>
      <c r="J34" s="161">
        <v>21</v>
      </c>
      <c r="K34" s="70"/>
      <c r="L34" s="70"/>
      <c r="M34" s="70"/>
    </row>
    <row r="35" spans="1:13" ht="12.75">
      <c r="A35" s="69">
        <v>36</v>
      </c>
      <c r="B35" s="70">
        <v>31</v>
      </c>
      <c r="C35" s="159"/>
      <c r="D35" s="159"/>
      <c r="E35" s="70">
        <v>6473</v>
      </c>
      <c r="F35" s="70">
        <v>7023</v>
      </c>
      <c r="G35" s="161">
        <v>10</v>
      </c>
      <c r="H35" s="161">
        <v>28</v>
      </c>
      <c r="I35" s="161">
        <v>9</v>
      </c>
      <c r="J35" s="161">
        <v>21</v>
      </c>
      <c r="K35" s="70"/>
      <c r="L35" s="70"/>
      <c r="M35" s="70"/>
    </row>
    <row r="36" spans="1:13" ht="12.75">
      <c r="A36" s="69">
        <v>37</v>
      </c>
      <c r="B36" s="70">
        <v>30</v>
      </c>
      <c r="C36" s="159"/>
      <c r="D36" s="159"/>
      <c r="E36" s="70">
        <v>6668</v>
      </c>
      <c r="F36" s="70">
        <v>7236</v>
      </c>
      <c r="G36" s="161">
        <v>13</v>
      </c>
      <c r="H36" s="161">
        <v>28</v>
      </c>
      <c r="I36" s="161">
        <v>11</v>
      </c>
      <c r="J36" s="161">
        <v>21</v>
      </c>
      <c r="K36" s="70"/>
      <c r="L36" s="70"/>
      <c r="M36" s="70"/>
    </row>
    <row r="37" spans="1:13" ht="12.75">
      <c r="A37" s="69">
        <v>38</v>
      </c>
      <c r="B37" s="70">
        <v>29</v>
      </c>
      <c r="C37" s="159"/>
      <c r="D37" s="159"/>
      <c r="E37" s="70">
        <v>6871</v>
      </c>
      <c r="F37" s="70">
        <v>7456</v>
      </c>
      <c r="G37" s="161">
        <v>13</v>
      </c>
      <c r="H37" s="161">
        <v>28</v>
      </c>
      <c r="I37" s="161">
        <v>11</v>
      </c>
      <c r="J37" s="161">
        <v>21</v>
      </c>
      <c r="K37" s="70"/>
      <c r="L37" s="70"/>
      <c r="M37" s="70"/>
    </row>
    <row r="38" spans="1:13" ht="12.75">
      <c r="A38" s="69">
        <v>39</v>
      </c>
      <c r="B38" s="70">
        <v>28</v>
      </c>
      <c r="C38" s="159"/>
      <c r="D38" s="159"/>
      <c r="E38" s="70">
        <v>7080</v>
      </c>
      <c r="F38" s="70">
        <v>7681</v>
      </c>
      <c r="G38" s="161">
        <v>13</v>
      </c>
      <c r="H38" s="161">
        <v>28</v>
      </c>
      <c r="I38" s="161">
        <v>11</v>
      </c>
      <c r="J38" s="161">
        <v>21</v>
      </c>
      <c r="K38" s="70"/>
      <c r="L38" s="70"/>
      <c r="M38" s="70"/>
    </row>
    <row r="39" spans="1:13" ht="12.75">
      <c r="A39" s="69">
        <v>40</v>
      </c>
      <c r="B39" s="70">
        <v>27</v>
      </c>
      <c r="C39" s="159"/>
      <c r="D39" s="159"/>
      <c r="E39" s="70">
        <v>7296</v>
      </c>
      <c r="F39" s="70">
        <v>7915</v>
      </c>
      <c r="G39" s="161">
        <v>15</v>
      </c>
      <c r="H39" s="161">
        <v>28</v>
      </c>
      <c r="I39" s="161">
        <v>14</v>
      </c>
      <c r="J39" s="161">
        <v>21</v>
      </c>
      <c r="K39" s="70"/>
      <c r="L39" s="70"/>
      <c r="M39" s="70"/>
    </row>
    <row r="40" spans="1:13" ht="12.75">
      <c r="A40" s="69">
        <v>41</v>
      </c>
      <c r="B40" s="70">
        <v>26</v>
      </c>
      <c r="C40" s="159"/>
      <c r="D40" s="159"/>
      <c r="E40" s="70">
        <v>7519</v>
      </c>
      <c r="F40" s="70">
        <v>8156</v>
      </c>
      <c r="G40" s="161">
        <v>15</v>
      </c>
      <c r="H40" s="161">
        <v>28</v>
      </c>
      <c r="I40" s="161">
        <v>14</v>
      </c>
      <c r="J40" s="161">
        <v>21</v>
      </c>
      <c r="K40" s="70"/>
      <c r="L40" s="70"/>
      <c r="M40" s="70"/>
    </row>
    <row r="41" spans="1:13" ht="12.75">
      <c r="A41" s="69">
        <v>42</v>
      </c>
      <c r="B41" s="70">
        <v>25</v>
      </c>
      <c r="C41" s="159"/>
      <c r="D41" s="159"/>
      <c r="E41" s="70">
        <v>7749</v>
      </c>
      <c r="F41" s="70">
        <v>8404</v>
      </c>
      <c r="G41" s="161">
        <v>19</v>
      </c>
      <c r="H41" s="161">
        <v>28</v>
      </c>
      <c r="I41" s="161">
        <v>16</v>
      </c>
      <c r="J41" s="161">
        <v>21</v>
      </c>
      <c r="K41" s="70"/>
      <c r="L41" s="70"/>
      <c r="M41" s="70"/>
    </row>
    <row r="42" spans="1:13" ht="12.75">
      <c r="A42" s="69">
        <v>43</v>
      </c>
      <c r="B42" s="70">
        <v>24</v>
      </c>
      <c r="C42" s="159"/>
      <c r="D42" s="159"/>
      <c r="E42" s="70">
        <v>7986</v>
      </c>
      <c r="F42" s="70">
        <v>8662</v>
      </c>
      <c r="G42" s="161">
        <v>21</v>
      </c>
      <c r="H42" s="161">
        <v>28</v>
      </c>
      <c r="I42" s="161">
        <v>19</v>
      </c>
      <c r="J42" s="161">
        <v>21</v>
      </c>
      <c r="K42" s="70"/>
      <c r="L42" s="70"/>
      <c r="M42" s="70"/>
    </row>
    <row r="43" spans="1:13" ht="12.75">
      <c r="A43" s="69">
        <v>44</v>
      </c>
      <c r="B43" s="70">
        <v>23</v>
      </c>
      <c r="C43" s="159"/>
      <c r="D43" s="159"/>
      <c r="E43" s="70">
        <v>8228</v>
      </c>
      <c r="F43" s="70">
        <v>8926</v>
      </c>
      <c r="G43" s="161">
        <v>21</v>
      </c>
      <c r="H43" s="161">
        <v>28</v>
      </c>
      <c r="I43" s="161">
        <v>19</v>
      </c>
      <c r="J43" s="161">
        <v>21</v>
      </c>
      <c r="K43" s="70"/>
      <c r="L43" s="70"/>
      <c r="M43" s="70"/>
    </row>
    <row r="44" spans="1:13" ht="12.75">
      <c r="A44" s="69">
        <v>45</v>
      </c>
      <c r="B44" s="70">
        <v>22</v>
      </c>
      <c r="C44" s="159"/>
      <c r="D44" s="159"/>
      <c r="E44" s="70">
        <v>8480</v>
      </c>
      <c r="F44" s="70">
        <v>9201</v>
      </c>
      <c r="G44" s="161">
        <v>24</v>
      </c>
      <c r="H44" s="161">
        <v>28</v>
      </c>
      <c r="I44" s="161">
        <v>21</v>
      </c>
      <c r="J44" s="161">
        <v>21</v>
      </c>
      <c r="K44" s="70"/>
      <c r="L44" s="70"/>
      <c r="M44" s="70"/>
    </row>
    <row r="45" spans="1:13" ht="12.75">
      <c r="A45" s="69">
        <v>46</v>
      </c>
      <c r="B45" s="70">
        <v>21</v>
      </c>
      <c r="C45" s="159"/>
      <c r="D45" s="159"/>
      <c r="E45" s="70">
        <v>8743</v>
      </c>
      <c r="F45" s="70">
        <v>9484</v>
      </c>
      <c r="G45" s="161">
        <v>26</v>
      </c>
      <c r="H45" s="161">
        <v>28</v>
      </c>
      <c r="I45" s="161">
        <v>24</v>
      </c>
      <c r="J45" s="161">
        <v>21</v>
      </c>
      <c r="K45" s="70"/>
      <c r="L45" s="70"/>
      <c r="M45" s="70"/>
    </row>
    <row r="46" spans="1:13" ht="12.75">
      <c r="A46" s="69">
        <v>47</v>
      </c>
      <c r="B46" s="70">
        <v>20</v>
      </c>
      <c r="C46" s="159"/>
      <c r="D46" s="159"/>
      <c r="E46" s="70">
        <v>9012</v>
      </c>
      <c r="F46" s="70">
        <v>9778</v>
      </c>
      <c r="G46" s="161">
        <v>29</v>
      </c>
      <c r="H46" s="161">
        <v>28</v>
      </c>
      <c r="I46" s="161">
        <v>25</v>
      </c>
      <c r="J46" s="161">
        <v>21</v>
      </c>
      <c r="K46" s="70"/>
      <c r="L46" s="70"/>
      <c r="M46" s="70"/>
    </row>
    <row r="47" spans="1:13" ht="12.75">
      <c r="A47" s="69">
        <v>48</v>
      </c>
      <c r="B47" s="70">
        <v>19</v>
      </c>
      <c r="C47" s="159"/>
      <c r="D47" s="159"/>
      <c r="E47" s="70">
        <v>9291</v>
      </c>
      <c r="F47" s="70">
        <v>10080</v>
      </c>
      <c r="G47" s="161">
        <v>31</v>
      </c>
      <c r="H47" s="161">
        <v>28</v>
      </c>
      <c r="I47" s="161">
        <v>28</v>
      </c>
      <c r="J47" s="161">
        <v>21</v>
      </c>
      <c r="K47" s="70"/>
      <c r="L47" s="70"/>
      <c r="M47" s="70"/>
    </row>
    <row r="48" spans="1:13" ht="12.75">
      <c r="A48" s="69">
        <v>49</v>
      </c>
      <c r="B48" s="70">
        <v>18</v>
      </c>
      <c r="C48" s="159"/>
      <c r="D48" s="159"/>
      <c r="E48" s="70">
        <v>9579</v>
      </c>
      <c r="F48" s="70">
        <v>10393</v>
      </c>
      <c r="G48" s="161">
        <v>37</v>
      </c>
      <c r="H48" s="161">
        <v>28</v>
      </c>
      <c r="I48" s="161">
        <v>33</v>
      </c>
      <c r="J48" s="161">
        <v>21</v>
      </c>
      <c r="K48" s="70"/>
      <c r="L48" s="70"/>
      <c r="M48" s="70"/>
    </row>
    <row r="49" spans="1:13" ht="12.75">
      <c r="A49" s="69">
        <v>50</v>
      </c>
      <c r="B49" s="70">
        <v>17</v>
      </c>
      <c r="C49" s="159"/>
      <c r="D49" s="159"/>
      <c r="E49" s="70">
        <v>9878</v>
      </c>
      <c r="F49" s="70">
        <v>10717</v>
      </c>
      <c r="G49" s="161">
        <v>39</v>
      </c>
      <c r="H49" s="161">
        <v>28</v>
      </c>
      <c r="I49" s="161">
        <v>34</v>
      </c>
      <c r="J49" s="161">
        <v>21</v>
      </c>
      <c r="K49" s="70"/>
      <c r="L49" s="70"/>
      <c r="M49" s="70"/>
    </row>
    <row r="50" spans="1:13" ht="12.75">
      <c r="A50" s="69">
        <v>51</v>
      </c>
      <c r="B50" s="70">
        <v>16</v>
      </c>
      <c r="C50" s="159"/>
      <c r="D50" s="159"/>
      <c r="E50" s="70">
        <v>10188</v>
      </c>
      <c r="F50" s="70">
        <v>11053</v>
      </c>
      <c r="G50" s="161">
        <v>45</v>
      </c>
      <c r="H50" s="161">
        <v>28</v>
      </c>
      <c r="I50" s="161">
        <v>38</v>
      </c>
      <c r="J50" s="161">
        <v>21</v>
      </c>
      <c r="K50" s="70"/>
      <c r="L50" s="70"/>
      <c r="M50" s="70"/>
    </row>
    <row r="51" spans="1:13" ht="12.75">
      <c r="A51" s="69">
        <v>52</v>
      </c>
      <c r="B51" s="70">
        <v>15</v>
      </c>
      <c r="C51" s="159"/>
      <c r="D51" s="159"/>
      <c r="E51" s="70">
        <v>10509</v>
      </c>
      <c r="F51" s="70">
        <v>11401</v>
      </c>
      <c r="G51" s="161">
        <v>47</v>
      </c>
      <c r="H51" s="161">
        <v>28</v>
      </c>
      <c r="I51" s="161">
        <v>40</v>
      </c>
      <c r="J51" s="161">
        <v>21</v>
      </c>
      <c r="K51" s="70"/>
      <c r="L51" s="70"/>
      <c r="M51" s="70"/>
    </row>
    <row r="52" spans="1:13" ht="12.75">
      <c r="A52" s="69">
        <v>53</v>
      </c>
      <c r="B52" s="70">
        <v>14</v>
      </c>
      <c r="C52" s="159"/>
      <c r="D52" s="159"/>
      <c r="E52" s="70">
        <v>10840</v>
      </c>
      <c r="F52" s="70">
        <v>11760</v>
      </c>
      <c r="G52" s="161">
        <v>52</v>
      </c>
      <c r="H52" s="161">
        <v>28</v>
      </c>
      <c r="I52" s="161">
        <v>44</v>
      </c>
      <c r="J52" s="161">
        <v>21</v>
      </c>
      <c r="K52" s="70"/>
      <c r="L52" s="70"/>
      <c r="M52" s="70"/>
    </row>
    <row r="53" spans="1:13" ht="12.75">
      <c r="A53" s="69">
        <v>54</v>
      </c>
      <c r="B53" s="70">
        <v>13</v>
      </c>
      <c r="C53" s="159"/>
      <c r="D53" s="159"/>
      <c r="E53" s="70">
        <v>11185</v>
      </c>
      <c r="F53" s="70">
        <v>12135</v>
      </c>
      <c r="G53" s="161">
        <v>59</v>
      </c>
      <c r="H53" s="161">
        <v>28</v>
      </c>
      <c r="I53" s="161">
        <v>50</v>
      </c>
      <c r="J53" s="161">
        <v>21</v>
      </c>
      <c r="K53" s="70"/>
      <c r="L53" s="70"/>
      <c r="M53" s="70"/>
    </row>
    <row r="54" spans="1:13" ht="12.75">
      <c r="A54" s="69">
        <v>55</v>
      </c>
      <c r="B54" s="70">
        <v>12</v>
      </c>
      <c r="C54" s="159"/>
      <c r="D54" s="159"/>
      <c r="E54" s="70">
        <v>11544</v>
      </c>
      <c r="F54" s="70">
        <v>12524</v>
      </c>
      <c r="G54" s="161">
        <v>63</v>
      </c>
      <c r="H54" s="161">
        <v>28</v>
      </c>
      <c r="I54" s="161">
        <v>54</v>
      </c>
      <c r="J54" s="161">
        <v>21</v>
      </c>
      <c r="K54" s="70"/>
      <c r="L54" s="70"/>
      <c r="M54" s="70"/>
    </row>
    <row r="55" spans="1:13" ht="12.75">
      <c r="A55" s="69">
        <v>56</v>
      </c>
      <c r="B55" s="70">
        <v>11</v>
      </c>
      <c r="C55" s="159"/>
      <c r="D55" s="159"/>
      <c r="E55" s="70">
        <v>11916</v>
      </c>
      <c r="F55" s="70">
        <v>12928</v>
      </c>
      <c r="G55" s="161">
        <v>69</v>
      </c>
      <c r="H55" s="161">
        <v>28</v>
      </c>
      <c r="I55" s="161">
        <v>59</v>
      </c>
      <c r="J55" s="161">
        <v>21</v>
      </c>
      <c r="K55" s="70"/>
      <c r="L55" s="70"/>
      <c r="M55" s="70"/>
    </row>
    <row r="56" spans="1:13" ht="12.75">
      <c r="A56" s="69">
        <v>57</v>
      </c>
      <c r="B56" s="70">
        <v>10</v>
      </c>
      <c r="C56" s="159"/>
      <c r="D56" s="159"/>
      <c r="E56" s="70">
        <v>12305</v>
      </c>
      <c r="F56" s="70">
        <v>13350</v>
      </c>
      <c r="G56" s="161">
        <v>78</v>
      </c>
      <c r="H56" s="161">
        <v>28</v>
      </c>
      <c r="I56" s="161">
        <v>66</v>
      </c>
      <c r="J56" s="161">
        <v>21</v>
      </c>
      <c r="K56" s="70"/>
      <c r="L56" s="70"/>
      <c r="M56" s="70"/>
    </row>
    <row r="57" spans="1:13" ht="12.75">
      <c r="A57" s="69">
        <v>58</v>
      </c>
      <c r="B57" s="70">
        <v>9</v>
      </c>
      <c r="C57" s="159"/>
      <c r="D57" s="159"/>
      <c r="E57" s="70">
        <v>12710</v>
      </c>
      <c r="F57" s="70">
        <v>13789</v>
      </c>
      <c r="G57" s="161">
        <v>87</v>
      </c>
      <c r="H57" s="161">
        <v>28</v>
      </c>
      <c r="I57" s="161">
        <v>72</v>
      </c>
      <c r="J57" s="161">
        <v>21</v>
      </c>
      <c r="K57" s="70"/>
      <c r="L57" s="70"/>
      <c r="M57" s="70"/>
    </row>
    <row r="58" spans="1:13" ht="12.75">
      <c r="A58" s="69">
        <v>59</v>
      </c>
      <c r="B58" s="70">
        <v>8</v>
      </c>
      <c r="C58" s="159"/>
      <c r="D58" s="159"/>
      <c r="E58" s="70">
        <v>13130</v>
      </c>
      <c r="F58" s="70">
        <v>14245</v>
      </c>
      <c r="G58" s="161">
        <v>94</v>
      </c>
      <c r="H58" s="161">
        <v>28</v>
      </c>
      <c r="I58" s="161">
        <v>78</v>
      </c>
      <c r="J58" s="161">
        <v>21</v>
      </c>
      <c r="K58" s="70"/>
      <c r="L58" s="70"/>
      <c r="M58" s="70"/>
    </row>
    <row r="59" spans="1:13" ht="12.75">
      <c r="A59" s="69">
        <v>60</v>
      </c>
      <c r="B59" s="70">
        <v>7</v>
      </c>
      <c r="C59" s="159"/>
      <c r="D59" s="159"/>
      <c r="E59" s="70">
        <v>13574</v>
      </c>
      <c r="F59" s="70">
        <v>14724</v>
      </c>
      <c r="G59" s="161">
        <v>105</v>
      </c>
      <c r="H59" s="161">
        <v>28</v>
      </c>
      <c r="I59" s="161">
        <v>84</v>
      </c>
      <c r="J59" s="161">
        <v>21</v>
      </c>
      <c r="K59" s="70"/>
      <c r="L59" s="70"/>
      <c r="M59" s="70"/>
    </row>
    <row r="60" spans="1:13" ht="12.75">
      <c r="A60" s="69">
        <v>61</v>
      </c>
      <c r="B60" s="70">
        <v>6</v>
      </c>
      <c r="C60" s="159"/>
      <c r="D60" s="159"/>
      <c r="E60" s="70">
        <v>14035</v>
      </c>
      <c r="F60" s="70">
        <v>15227</v>
      </c>
      <c r="G60" s="161">
        <v>116</v>
      </c>
      <c r="H60" s="161">
        <v>28</v>
      </c>
      <c r="I60" s="161">
        <v>93</v>
      </c>
      <c r="J60" s="161">
        <v>21</v>
      </c>
      <c r="K60" s="70"/>
      <c r="L60" s="70"/>
      <c r="M60" s="70"/>
    </row>
    <row r="61" spans="1:13" ht="12.75">
      <c r="A61" s="69">
        <v>62</v>
      </c>
      <c r="B61" s="70">
        <v>5</v>
      </c>
      <c r="C61" s="159"/>
      <c r="D61" s="159"/>
      <c r="E61" s="70">
        <v>14523</v>
      </c>
      <c r="F61" s="70">
        <v>15755</v>
      </c>
      <c r="G61" s="161">
        <v>131</v>
      </c>
      <c r="H61" s="161">
        <v>28</v>
      </c>
      <c r="I61" s="161">
        <v>103</v>
      </c>
      <c r="J61" s="161">
        <v>21</v>
      </c>
      <c r="K61" s="70"/>
      <c r="L61" s="70"/>
      <c r="M61" s="70"/>
    </row>
    <row r="62" spans="1:13" ht="12.75">
      <c r="A62" s="69">
        <v>63</v>
      </c>
      <c r="B62" s="70">
        <v>4</v>
      </c>
      <c r="C62" s="159"/>
      <c r="D62" s="159"/>
      <c r="E62" s="70">
        <v>15034</v>
      </c>
      <c r="F62" s="70">
        <v>16309</v>
      </c>
      <c r="G62" s="161">
        <v>144</v>
      </c>
      <c r="H62" s="161">
        <v>28</v>
      </c>
      <c r="I62" s="161">
        <v>112</v>
      </c>
      <c r="J62" s="161">
        <v>21</v>
      </c>
      <c r="K62" s="70"/>
      <c r="L62" s="70"/>
      <c r="M62" s="70"/>
    </row>
    <row r="63" spans="1:13" ht="12.75">
      <c r="A63" s="69">
        <v>64</v>
      </c>
      <c r="B63" s="70">
        <v>3</v>
      </c>
      <c r="C63" s="159"/>
      <c r="D63" s="159"/>
      <c r="E63" s="70">
        <v>15575</v>
      </c>
      <c r="F63" s="70">
        <v>16897</v>
      </c>
      <c r="G63" s="161">
        <v>160</v>
      </c>
      <c r="H63" s="161">
        <v>28</v>
      </c>
      <c r="I63" s="161">
        <v>105</v>
      </c>
      <c r="J63" s="161">
        <v>21</v>
      </c>
      <c r="K63" s="70"/>
      <c r="L63" s="70"/>
      <c r="M63" s="70"/>
    </row>
    <row r="64" spans="1:13" ht="12.75">
      <c r="A64" s="69">
        <v>65</v>
      </c>
      <c r="B64" s="70">
        <v>2</v>
      </c>
      <c r="C64" s="159"/>
      <c r="D64" s="159"/>
      <c r="E64" s="70">
        <v>16148</v>
      </c>
      <c r="F64" s="70">
        <v>17518</v>
      </c>
      <c r="G64" s="161">
        <v>176</v>
      </c>
      <c r="H64" s="161">
        <v>28</v>
      </c>
      <c r="I64" s="161">
        <v>111</v>
      </c>
      <c r="J64" s="161">
        <v>21</v>
      </c>
      <c r="K64" s="70"/>
      <c r="L64" s="70"/>
      <c r="M64" s="70"/>
    </row>
    <row r="65" spans="1:13" ht="12.75">
      <c r="A65" s="69">
        <v>66</v>
      </c>
      <c r="B65" s="70">
        <v>1</v>
      </c>
      <c r="C65" s="159"/>
      <c r="D65" s="159"/>
      <c r="E65" s="70">
        <v>16754</v>
      </c>
      <c r="F65" s="70">
        <v>18158</v>
      </c>
      <c r="G65" s="161">
        <v>194</v>
      </c>
      <c r="H65" s="161">
        <v>28</v>
      </c>
      <c r="I65" s="161">
        <v>120</v>
      </c>
      <c r="J65" s="161">
        <v>21</v>
      </c>
      <c r="K65" s="70"/>
      <c r="L65" s="70"/>
      <c r="M65" s="70"/>
    </row>
    <row r="66" spans="1:13" ht="12.75">
      <c r="A66" s="69">
        <v>67</v>
      </c>
      <c r="B66" s="70">
        <v>0</v>
      </c>
      <c r="C66" s="159"/>
      <c r="D66" s="159"/>
      <c r="E66" s="70">
        <v>17404</v>
      </c>
      <c r="F66" s="70">
        <v>18831</v>
      </c>
      <c r="G66" s="161">
        <v>219</v>
      </c>
      <c r="H66" s="161">
        <v>28</v>
      </c>
      <c r="I66" s="161">
        <v>127</v>
      </c>
      <c r="J66" s="161">
        <v>21</v>
      </c>
      <c r="K66" s="70"/>
      <c r="L66" s="70"/>
      <c r="M66" s="7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Nationale-Nederlanden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H.C. (Ho Chi)</dc:creator>
  <cp:keywords/>
  <dc:description/>
  <cp:lastModifiedBy>GJ van Dalen</cp:lastModifiedBy>
  <dcterms:created xsi:type="dcterms:W3CDTF">2015-01-12T16:15:09Z</dcterms:created>
  <dcterms:modified xsi:type="dcterms:W3CDTF">2019-10-03T13:12:39Z</dcterms:modified>
  <cp:category/>
  <cp:version/>
  <cp:contentType/>
  <cp:contentStatus/>
</cp:coreProperties>
</file>