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30" activeTab="3"/>
  </bookViews>
  <sheets>
    <sheet name="OUTPUT" sheetId="1" r:id="rId1"/>
    <sheet name="INPUT" sheetId="2" r:id="rId2"/>
    <sheet name="Allianz" sheetId="3" r:id="rId3"/>
    <sheet name="rekenen" sheetId="4" r:id="rId4"/>
    <sheet name="Blad1" sheetId="5" r:id="rId5"/>
    <sheet name="Blad2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fn._FV" hidden="1">#NAME?</definedName>
    <definedName name="_xlfn.IFS" hidden="1">#NAME?</definedName>
    <definedName name="_xlfn.SINGLE" hidden="1">#NAME?</definedName>
    <definedName name="betalingstermijn">#REF!</definedName>
    <definedName name="Cluster">#REF!</definedName>
    <definedName name="CWANW">#REF!</definedName>
    <definedName name="cwnp21">#REF!</definedName>
    <definedName name="cwnp27">#REF!</definedName>
    <definedName name="CWWZP">#REF!</definedName>
    <definedName name="Factoruni_overl">'[1]Input'!$H$134</definedName>
    <definedName name="geenpool">#REF!</definedName>
    <definedName name="gemiddeld">#REF!</definedName>
    <definedName name="input_aantal_kinderen">'INPUT'!$J$2</definedName>
    <definedName name="input_bepaalde_partner">'INPUT'!$AU$2</definedName>
    <definedName name="input_burgerlijkestaat">'INPUT'!$G$2</definedName>
    <definedName name="input_correctiepercentage">'INPUT'!$AS$2</definedName>
    <definedName name="input_datum_in_dienst">'INPUT'!$C$2</definedName>
    <definedName name="input_franchise" localSheetId="2">'[2]INPUT'!$L$2</definedName>
    <definedName name="input_franchise">'INPUT'!$L$2</definedName>
    <definedName name="input_fulltime_salaris" localSheetId="2">'[2]INPUT'!$F$2</definedName>
    <definedName name="input_fulltime_salaris">'INPUT'!$F$2</definedName>
    <definedName name="input_geboortedatum" localSheetId="2">'[2]INPUT'!$B$2</definedName>
    <definedName name="input_geboortedatum">'INPUT'!$B$2</definedName>
    <definedName name="input_geboortedatum_k1">'INPUT'!$Q$2</definedName>
    <definedName name="input_geboortedatum_k2">'INPUT'!$R$2</definedName>
    <definedName name="input_geboortedatum_k3">'INPUT'!$S$2</definedName>
    <definedName name="input_geboortedatum_k4">'INPUT'!$T$2</definedName>
    <definedName name="input_geboortedatum_k5">'INPUT'!$U$2</definedName>
    <definedName name="input_geboortedatum_partner" localSheetId="2">'[2]INPUT'!$I$2</definedName>
    <definedName name="input_geboortedatum_partner">'INPUT'!$I$2</definedName>
    <definedName name="input_geslacht" localSheetId="2">'[2]INPUT'!$A$2</definedName>
    <definedName name="input_geslacht">'INPUT'!$A$2</definedName>
    <definedName name="input_geslacht_partner" localSheetId="2">'[2]INPUT'!$H$2</definedName>
    <definedName name="input_geslacht_partner">'INPUT'!$H$2</definedName>
    <definedName name="input_kortingspercentage_np">'INPUT'!$AQ$2</definedName>
    <definedName name="input_kortingspercentage_wzp">'INPUT'!$AR$2</definedName>
    <definedName name="input_max_pensioensalaris">'INPUT'!$AN$2</definedName>
    <definedName name="input_np_perc_per_dj">'INPUT'!$AJ$2</definedName>
    <definedName name="input_np_premie_perc_wg">'INPUT'!$Y$2</definedName>
    <definedName name="input_np_premie_perc_wn">'INPUT'!$Z$2</definedName>
    <definedName name="input_parttime_percentage" localSheetId="2">'[2]INPUT'!$E$2</definedName>
    <definedName name="input_parttime_percentage">'INPUT'!$E$2</definedName>
    <definedName name="input_pensioengevend_salaris">'INPUT'!$M$2</definedName>
    <definedName name="input_pensioengrondslag">'INPUT'!$N$2</definedName>
    <definedName name="input_pensioenleeftijd" localSheetId="2">'[2]INPUT'!$P$2</definedName>
    <definedName name="input_pensioenleeftijd">'INPUT'!$P$2</definedName>
    <definedName name="input_periodesalaris">'INPUT'!$D$2</definedName>
    <definedName name="input_poliskosten">'INPUT'!$AC$2</definedName>
    <definedName name="input_pvi">'INPUT'!$AO$2</definedName>
    <definedName name="input_pvipercentage">'INPUT'!$AP$2</definedName>
    <definedName name="Input_stijgende_uitkering">'INPUT'!$AT$2</definedName>
    <definedName name="input_verzekerd_bedrag">#REF!</definedName>
    <definedName name="input_waardeoverdracht">'INPUT'!$O$2</definedName>
    <definedName name="input_wijzigingsdatum">'INPUT'!$K$2</definedName>
    <definedName name="input_wzp_eindleeftijd">'INPUT'!$AH$2</definedName>
    <definedName name="input_wzp_perc_np">'INPUT'!$AI$2</definedName>
    <definedName name="input_wzp_premie_perc_wg">'INPUT'!$AA$2</definedName>
    <definedName name="input_wzp_premie_perc_wn">'INPUT'!$AB$2</definedName>
    <definedName name="intrest">'[3]tarief'!$AN$9:$AN$68</definedName>
    <definedName name="NP">#REF!</definedName>
    <definedName name="Opslag">'[2]Nabestaandenpensioen'!$B$13</definedName>
    <definedName name="OpslagANW">#REF!</definedName>
    <definedName name="opslagPVI">#REF!</definedName>
    <definedName name="output_franchise">'OUTPUT'!$B$2</definedName>
    <definedName name="output_franchise_op">'OUTPUT'!$B$2</definedName>
    <definedName name="output_gewogen_parttime_perc">'OUTPUT'!$M$2</definedName>
    <definedName name="output_partnerpensioen">'OUTPUT'!$E$2</definedName>
    <definedName name="output_partnerpensioen_kapitaal">'OUTPUT'!$D$2</definedName>
    <definedName name="output_pensioen_grondslag">'OUTPUT'!$C$2</definedName>
    <definedName name="output_pensioengevend_jaarsalaris">'OUTPUT'!$A$2</definedName>
    <definedName name="output_premie_pj_np" localSheetId="2">'[2]OUTPUT'!$G$2</definedName>
    <definedName name="output_premie_pj_np">'OUTPUT'!$G$2</definedName>
    <definedName name="output_premie_pj_wzp">'OUTPUT'!$J$2</definedName>
    <definedName name="output_premie_wg_np">'OUTPUT'!$H$2</definedName>
    <definedName name="output_premie_wg_wzp">'OUTPUT'!$K$2</definedName>
    <definedName name="output_premie_wn_np">'OUTPUT'!$I$2</definedName>
    <definedName name="output_premie_wn_wzp">'OUTPUT'!$L$2</definedName>
    <definedName name="output_wezenpensioen">'OUTPUT'!$F$2</definedName>
    <definedName name="pooltar">#REF!</definedName>
    <definedName name="Poolwinst">#REF!</definedName>
    <definedName name="Provisie">#REF!</definedName>
    <definedName name="prudent">#REF!</definedName>
    <definedName name="PVI">#REF!</definedName>
    <definedName name="rentewzp">'[4]Tabellen'!$AT$11:$AX$59</definedName>
    <definedName name="staffel">#REF!</definedName>
    <definedName name="tarief">#REF!</definedName>
    <definedName name="VPOR">#REF!</definedName>
    <definedName name="wzp">#REF!</definedName>
  </definedNames>
  <calcPr fullCalcOnLoad="1"/>
</workbook>
</file>

<file path=xl/comments2.xml><?xml version="1.0" encoding="utf-8"?>
<comments xmlns="http://schemas.openxmlformats.org/spreadsheetml/2006/main">
  <authors>
    <author>GJ van Dalen</author>
  </authors>
  <commentList>
    <comment ref="AU1" authorId="0">
      <text>
        <r>
          <rPr>
            <b/>
            <sz val="9"/>
            <rFont val="Tahoma"/>
            <family val="2"/>
          </rPr>
          <t>GJ van Dalen:</t>
        </r>
        <r>
          <rPr>
            <sz val="9"/>
            <rFont val="Tahoma"/>
            <family val="2"/>
          </rPr>
          <t xml:space="preserve">
1=JA
0=NEE</t>
        </r>
      </text>
    </comment>
  </commentList>
</comments>
</file>

<file path=xl/comments3.xml><?xml version="1.0" encoding="utf-8"?>
<comments xmlns="http://schemas.openxmlformats.org/spreadsheetml/2006/main">
  <authors>
    <author>Han Evers | Evers Assurantien</author>
    <author>GJ van Dalen</author>
  </authors>
  <commentList>
    <comment ref="X6" authorId="0">
      <text>
        <r>
          <rPr>
            <b/>
            <sz val="9"/>
            <rFont val="Tahoma"/>
            <family val="2"/>
          </rPr>
          <t>Han Evers | Evers Assurantien:</t>
        </r>
        <r>
          <rPr>
            <sz val="9"/>
            <rFont val="Tahoma"/>
            <family val="2"/>
          </rPr>
          <t xml:space="preserve">
Waarom wordt hier met 8 maanden en 4 maanden gerekend?
Nl. er wordt gerekend met maandelijkse risicopremies en de berekeningsdatum is 01-05.
De peildatum voor de berekening van de OP premie is per 01-01.
Als je bij de berekening rekening wilt houden met de leeftijd van de vrouw, dan is niet de berekningsdatum, maar de geboortedatum bepalend.
Bovendien als je wel met 4/8 rekening houdt, dan is deze persoon over de eerste 4 maanden gerekend 32 jaar en geen 33..</t>
        </r>
      </text>
    </comment>
    <comment ref="AA27" authorId="1">
      <text>
        <r>
          <rPr>
            <b/>
            <sz val="9"/>
            <rFont val="Tahoma"/>
            <family val="2"/>
          </rPr>
          <t>GJ van Dalen:</t>
        </r>
        <r>
          <rPr>
            <sz val="9"/>
            <rFont val="Tahoma"/>
            <family val="2"/>
          </rPr>
          <t xml:space="preserve">
Rekening houden met correctiefactor (zie input) Z29
</t>
        </r>
      </text>
    </comment>
  </commentList>
</comments>
</file>

<file path=xl/comments4.xml><?xml version="1.0" encoding="utf-8"?>
<comments xmlns="http://schemas.openxmlformats.org/spreadsheetml/2006/main">
  <authors>
    <author>AVWPOOL1-AVW</author>
  </authors>
  <commentList>
    <comment ref="D17" authorId="0">
      <text>
        <r>
          <rPr>
            <b/>
            <sz val="9"/>
            <rFont val="Tahoma"/>
            <family val="2"/>
          </rPr>
          <t>Arjan van der Voort:</t>
        </r>
        <r>
          <rPr>
            <sz val="9"/>
            <rFont val="Tahoma"/>
            <family val="2"/>
          </rPr>
          <t xml:space="preserve">
aanpassen naar ingangsdatum contract indien deze dit jaar is ingegaan.
</t>
        </r>
      </text>
    </comment>
  </commentList>
</comments>
</file>

<file path=xl/sharedStrings.xml><?xml version="1.0" encoding="utf-8"?>
<sst xmlns="http://schemas.openxmlformats.org/spreadsheetml/2006/main" count="249" uniqueCount="191">
  <si>
    <t>Burgerlijkestaat</t>
  </si>
  <si>
    <t>Franchise OP</t>
  </si>
  <si>
    <t>WzP Premie werkgever</t>
  </si>
  <si>
    <t>tarief incl. RSC</t>
  </si>
  <si>
    <t>WzP toepassen ivm kids?</t>
  </si>
  <si>
    <t>leeftijd datum in dienst</t>
  </si>
  <si>
    <t>datum in dienst</t>
  </si>
  <si>
    <t>Franchise</t>
  </si>
  <si>
    <t>1e van de maand na in dienst</t>
  </si>
  <si>
    <t>KERNCIJFERS</t>
  </si>
  <si>
    <t>Parttime_percentage</t>
  </si>
  <si>
    <t>Fulltime_salaris</t>
  </si>
  <si>
    <t>Wezenpensioen</t>
  </si>
  <si>
    <t>Pensioengrondslag</t>
  </si>
  <si>
    <t>WzP Jaarpremie</t>
  </si>
  <si>
    <t>Kind 4 geboortedatum</t>
  </si>
  <si>
    <t>PG (was N2)</t>
  </si>
  <si>
    <t>pensioenleeftijd</t>
  </si>
  <si>
    <t>WZP toepassen? - generaal!</t>
  </si>
  <si>
    <t>Kind 1 geboortedatum</t>
  </si>
  <si>
    <t>opbouw % NP</t>
  </si>
  <si>
    <t>Partt salaris</t>
  </si>
  <si>
    <t>partnerpensioen</t>
  </si>
  <si>
    <t>Premie werkgever</t>
  </si>
  <si>
    <t>Pensioengevend_Salaris</t>
  </si>
  <si>
    <t>Geboortedatum</t>
  </si>
  <si>
    <t>Max. Loon</t>
  </si>
  <si>
    <t>Salaris</t>
  </si>
  <si>
    <t>Datum_in_dienst</t>
  </si>
  <si>
    <t>Pensioenleeftijd</t>
  </si>
  <si>
    <t>datum berekening in dienst dit jaar</t>
  </si>
  <si>
    <t>premie per 10000</t>
  </si>
  <si>
    <t>Partnerpensioen</t>
  </si>
  <si>
    <t>(geboortedatum partner leeg = nee)</t>
  </si>
  <si>
    <t>(aantal kinderen is nul = nee)</t>
  </si>
  <si>
    <t>WzP premie werknemer</t>
  </si>
  <si>
    <t>FT-grondslag</t>
  </si>
  <si>
    <t>WZP toepassen ivm partner?</t>
  </si>
  <si>
    <t>NP Premie</t>
  </si>
  <si>
    <t>Jaarpremie</t>
  </si>
  <si>
    <t>Partnerpensioen kapitaal</t>
  </si>
  <si>
    <t>Aantal_kinderen</t>
  </si>
  <si>
    <t>leeftijd tbv berekening</t>
  </si>
  <si>
    <t>Geslacht</t>
  </si>
  <si>
    <t>leeftijd 1-1 van het jaar</t>
  </si>
  <si>
    <t>pensioendatum</t>
  </si>
  <si>
    <t>partime franchise</t>
  </si>
  <si>
    <t>Kind 3 geboortedatum</t>
  </si>
  <si>
    <t>Geboortedatum_partner</t>
  </si>
  <si>
    <t>Kind 5 geboortedatum</t>
  </si>
  <si>
    <t>Leeftijd</t>
  </si>
  <si>
    <t>interpolatie</t>
  </si>
  <si>
    <t>incl. 2,5% termijnopslag</t>
  </si>
  <si>
    <t>Geslacht_partner</t>
  </si>
  <si>
    <t>Wijzigingsdatum</t>
  </si>
  <si>
    <t>premie werknemer</t>
  </si>
  <si>
    <t>Kind 2 geboortedatum</t>
  </si>
  <si>
    <t>Gewogen parttime %</t>
  </si>
  <si>
    <t>leeftijd</t>
  </si>
  <si>
    <t>Hoogte WzP</t>
  </si>
  <si>
    <t>NP% per jaar</t>
  </si>
  <si>
    <t>Waardeoverdracht</t>
  </si>
  <si>
    <t>Periodesalaris</t>
  </si>
  <si>
    <t>NP toepassen?</t>
  </si>
  <si>
    <t>dienstjaren did - PD</t>
  </si>
  <si>
    <t>WzP (% van het NP)</t>
  </si>
  <si>
    <t>datum berekening (PEIL DD)</t>
  </si>
  <si>
    <t>Poolwinst</t>
  </si>
  <si>
    <t>Cluster</t>
  </si>
  <si>
    <t>Betalingstermijn</t>
  </si>
  <si>
    <t>NP premie perc wg</t>
  </si>
  <si>
    <t>NP premie perc wn</t>
  </si>
  <si>
    <t>WzP Premie perc wg</t>
  </si>
  <si>
    <t>WzP Premie perc wn</t>
  </si>
  <si>
    <t>Poliskosten</t>
  </si>
  <si>
    <t>knip NP</t>
  </si>
  <si>
    <t>knip WzP</t>
  </si>
  <si>
    <t>Geknipte regeling</t>
  </si>
  <si>
    <t>Knip meeverzekeren</t>
  </si>
  <si>
    <t>WzP eindleeftijd</t>
  </si>
  <si>
    <t>WzP perc np</t>
  </si>
  <si>
    <t>NP Perc per dj</t>
  </si>
  <si>
    <t>NP max looptijd</t>
  </si>
  <si>
    <t>Deelnemersjaren vanaf</t>
  </si>
  <si>
    <t>Max Pensioensalaris</t>
  </si>
  <si>
    <t>Maximum salaris</t>
  </si>
  <si>
    <t>Man</t>
  </si>
  <si>
    <t>Maandelijkse risicopremie per € 100.000 risicokapitaal partnerpensioen (bepaald)</t>
  </si>
  <si>
    <t>Contante waarde factoren gelijkblijvend</t>
  </si>
  <si>
    <t>Vrouw</t>
  </si>
  <si>
    <t>PP Man</t>
  </si>
  <si>
    <t>PP Vrouw</t>
  </si>
  <si>
    <t>Berekeningsdatum?</t>
  </si>
  <si>
    <t>man</t>
  </si>
  <si>
    <t>wn</t>
  </si>
  <si>
    <t>gem.</t>
  </si>
  <si>
    <t>partner</t>
  </si>
  <si>
    <t>CW factor</t>
  </si>
  <si>
    <t>vrouw</t>
  </si>
  <si>
    <t>Verzekerd bedrag</t>
  </si>
  <si>
    <t>Eerste kosten</t>
  </si>
  <si>
    <t>Doorlopende kosten</t>
  </si>
  <si>
    <t>PG</t>
  </si>
  <si>
    <t>Leeftijd per 1-1-2017</t>
  </si>
  <si>
    <t>Aanspraak WZP</t>
  </si>
  <si>
    <t>Contante waarde</t>
  </si>
  <si>
    <t>kind 1</t>
  </si>
  <si>
    <t>kind 2</t>
  </si>
  <si>
    <t>kind 3</t>
  </si>
  <si>
    <t>Premie volgens mutatiebevestiging</t>
  </si>
  <si>
    <t>Gegevens verzekerde</t>
  </si>
  <si>
    <t>Naam</t>
  </si>
  <si>
    <t>premie</t>
  </si>
  <si>
    <t>Grondslag FT</t>
  </si>
  <si>
    <t>Grondslag DT</t>
  </si>
  <si>
    <t>WzP man</t>
  </si>
  <si>
    <t>WzP vrouw</t>
  </si>
  <si>
    <t>kind 4</t>
  </si>
  <si>
    <t>kind 5</t>
  </si>
  <si>
    <t>PT%</t>
  </si>
  <si>
    <t>wzp</t>
  </si>
  <si>
    <t>NP</t>
  </si>
  <si>
    <t>afr nr beneden</t>
  </si>
  <si>
    <t>mnd</t>
  </si>
  <si>
    <t>peildatum</t>
  </si>
  <si>
    <t>cw factor1</t>
  </si>
  <si>
    <t>cw wrd2</t>
  </si>
  <si>
    <t>CW factor1+2</t>
  </si>
  <si>
    <t>aantal kinderen</t>
  </si>
  <si>
    <t>eindlft</t>
  </si>
  <si>
    <t>k1</t>
  </si>
  <si>
    <t>k2</t>
  </si>
  <si>
    <t>k3</t>
  </si>
  <si>
    <t>k4</t>
  </si>
  <si>
    <t>k5</t>
  </si>
  <si>
    <t>Alleenstaand Np=0</t>
  </si>
  <si>
    <t>tot premie</t>
  </si>
  <si>
    <t>lft</t>
  </si>
  <si>
    <t>premie man</t>
  </si>
  <si>
    <t>ALS_Dan</t>
  </si>
  <si>
    <t>Werkn</t>
  </si>
  <si>
    <t>CW factor (partner)</t>
  </si>
  <si>
    <t>Risicopremie (werknemer)</t>
  </si>
  <si>
    <t>Risicokapitaal voor partner</t>
  </si>
  <si>
    <t>Partner man</t>
  </si>
  <si>
    <t>partner vrouw</t>
  </si>
  <si>
    <t>wn man</t>
  </si>
  <si>
    <t>wn vrouw</t>
  </si>
  <si>
    <t>Parttime franchise</t>
  </si>
  <si>
    <t>Premie</t>
  </si>
  <si>
    <t>Kapitaal</t>
  </si>
  <si>
    <t>Werkgeversdeel</t>
  </si>
  <si>
    <t>Werknemersdeel</t>
  </si>
  <si>
    <t>WzP</t>
  </si>
  <si>
    <t>Opslag Solvabiliteit</t>
  </si>
  <si>
    <t>aankoopkosten</t>
  </si>
  <si>
    <t>Premie p mnd</t>
  </si>
  <si>
    <t>NP premie</t>
  </si>
  <si>
    <t>Peildatum idem als did, maar dan een jaar terug</t>
  </si>
  <si>
    <t>Did</t>
  </si>
  <si>
    <t>input_pvi</t>
  </si>
  <si>
    <t>input_pvipercentage</t>
  </si>
  <si>
    <t>input_kortingspercentage_np</t>
  </si>
  <si>
    <t>input_kortingspercentage_wzp</t>
  </si>
  <si>
    <t>input_correctiepercentage</t>
  </si>
  <si>
    <t>Alleenstaand</t>
  </si>
  <si>
    <t>16030</t>
  </si>
  <si>
    <t>Ja</t>
  </si>
  <si>
    <t>Input_stijgende_uitkering</t>
  </si>
  <si>
    <t>input_bepaalde_partner</t>
  </si>
  <si>
    <t>Idem, Onbepaald</t>
  </si>
  <si>
    <t>Contante waarde factoren 2% stijgend</t>
  </si>
  <si>
    <t>Contante waarde factoren 3% stijgend</t>
  </si>
  <si>
    <t>0</t>
  </si>
  <si>
    <t>Stijging uitkering</t>
  </si>
  <si>
    <t>bepaald=1 Onbepaald=0</t>
  </si>
  <si>
    <t>Bepaald/Onbep</t>
  </si>
  <si>
    <t>Correctiefactor (-)</t>
  </si>
  <si>
    <t>min 3 jaar</t>
  </si>
  <si>
    <t>vr</t>
  </si>
  <si>
    <t>part_M</t>
  </si>
  <si>
    <t>part_V</t>
  </si>
  <si>
    <t/>
  </si>
  <si>
    <t>plus 3 jaar</t>
  </si>
  <si>
    <t>Wezenpensioen onbepaald</t>
  </si>
  <si>
    <t>vaste premie man</t>
  </si>
  <si>
    <t>vaste premie vrouw</t>
  </si>
  <si>
    <t>Als M/V</t>
  </si>
  <si>
    <t>WG deel</t>
  </si>
  <si>
    <t>WN deel</t>
  </si>
  <si>
    <t>Waardeoverdracht in jaren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</si>
</sst>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_ ;\-0\ "/>
    <numFmt numFmtId="167" formatCode="0.00000"/>
    <numFmt numFmtId="168" formatCode="0.0000"/>
    <numFmt numFmtId="169" formatCode="0.000"/>
    <numFmt numFmtId="170" formatCode="0.0000%"/>
    <numFmt numFmtId="171" formatCode="_-* #,##0_-;_-* #,##0\-;_-* &quot;-&quot;??_-;_-@_-"/>
    <numFmt numFmtId="172" formatCode="0.00_ ;\-0.00\ "/>
    <numFmt numFmtId="173" formatCode="_ * #,##0_ ;_ * \-#,##0_ ;_ * &quot;-&quot;??_ ;_ @_ "/>
    <numFmt numFmtId="174" formatCode="#,##0.00_ ;\-#,##0.00\ "/>
    <numFmt numFmtId="175" formatCode="_ * #,##0.0000_ ;_ * \-#,##0.0000_ ;_ * &quot;-&quot;????_ ;_ @_ 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[$-413]dddd\ d\ mmmm\ yyyy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Univers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sz val="11"/>
      <color indexed="20"/>
      <name val="SwissReSans"/>
      <family val="2"/>
    </font>
    <font>
      <b/>
      <sz val="11"/>
      <color indexed="52"/>
      <name val="SwissReSans"/>
      <family val="2"/>
    </font>
    <font>
      <b/>
      <sz val="11"/>
      <color indexed="9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60"/>
      <name val="SwissReSans"/>
      <family val="2"/>
    </font>
    <font>
      <b/>
      <sz val="11"/>
      <color indexed="63"/>
      <name val="SwissReSans"/>
      <family val="2"/>
    </font>
    <font>
      <b/>
      <sz val="18"/>
      <color indexed="62"/>
      <name val="Cambria"/>
      <family val="2"/>
    </font>
    <font>
      <b/>
      <sz val="11"/>
      <color indexed="8"/>
      <name val="SwissReSans"/>
      <family val="2"/>
    </font>
    <font>
      <sz val="11"/>
      <color indexed="10"/>
      <name val="SwissReSans"/>
      <family val="2"/>
    </font>
    <font>
      <sz val="10"/>
      <color indexed="10"/>
      <name val="Arial"/>
      <family val="2"/>
    </font>
    <font>
      <sz val="11"/>
      <color indexed="8"/>
      <name val="Segoe U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sz val="9.5"/>
      <color indexed="60"/>
      <name val="Consolas"/>
      <family val="3"/>
    </font>
    <font>
      <sz val="10"/>
      <color indexed="6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006100"/>
      <name val="SwissReSans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b/>
      <sz val="11"/>
      <color rgb="FF00B050"/>
      <name val="Calibri"/>
      <family val="2"/>
    </font>
    <font>
      <sz val="9.5"/>
      <color rgb="FFA31515"/>
      <name val="Consolas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63999390602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639993906021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63999390602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639993906021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639993906021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63999390602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350002408027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35999661684036"/>
        <bgColor indexed="64"/>
      </patternFill>
    </fill>
    <fill>
      <patternFill patternType="solid">
        <fgColor theme="3" tint="0.5997499823570251"/>
        <bgColor indexed="64"/>
      </patternFill>
    </fill>
    <fill>
      <patternFill patternType="solid">
        <fgColor theme="0" tint="-0.3497300148010254"/>
        <bgColor indexed="64"/>
      </patternFill>
    </fill>
    <fill>
      <patternFill patternType="solid">
        <fgColor theme="2" tint="-0.099760003387928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7200071811676"/>
        <bgColor indexed="64"/>
      </patternFill>
    </fill>
    <fill>
      <patternFill patternType="solid">
        <fgColor theme="5" tint="-0.2497200071811676"/>
        <bgColor indexed="64"/>
      </patternFill>
    </fill>
    <fill>
      <patternFill patternType="solid">
        <fgColor theme="9" tint="-0.249720007181167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3" borderId="0">
      <alignment/>
      <protection/>
    </xf>
    <xf numFmtId="0" fontId="1" fillId="2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5" borderId="0">
      <alignment/>
      <protection/>
    </xf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7" borderId="0">
      <alignment/>
      <protection/>
    </xf>
    <xf numFmtId="0" fontId="1" fillId="6" borderId="0">
      <alignment/>
      <protection/>
    </xf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3" borderId="0">
      <alignment/>
      <protection/>
    </xf>
    <xf numFmtId="0" fontId="1" fillId="8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0" borderId="0">
      <alignment/>
      <protection/>
    </xf>
    <xf numFmtId="0" fontId="1" fillId="9" borderId="0">
      <alignment/>
      <protection/>
    </xf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7" borderId="0">
      <alignment/>
      <protection/>
    </xf>
    <xf numFmtId="0" fontId="1" fillId="11" borderId="0">
      <alignment/>
      <protection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>
      <alignment/>
      <protection/>
    </xf>
    <xf numFmtId="0" fontId="1" fillId="12" borderId="0">
      <alignment/>
      <protection/>
    </xf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5" borderId="0">
      <alignment/>
      <protection/>
    </xf>
    <xf numFmtId="0" fontId="1" fillId="14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>
      <alignment/>
      <protection/>
    </xf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13" borderId="0">
      <alignment/>
      <protection/>
    </xf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>
      <alignment/>
      <protection/>
    </xf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16" borderId="0">
      <alignment/>
      <protection/>
    </xf>
    <xf numFmtId="0" fontId="1" fillId="20" borderId="0">
      <alignment/>
      <protection/>
    </xf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>
      <alignment/>
      <protection/>
    </xf>
    <xf numFmtId="0" fontId="2" fillId="23" borderId="0">
      <alignment/>
      <protection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6" fillId="5" borderId="0">
      <alignment/>
      <protection/>
    </xf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6" fillId="16" borderId="0">
      <alignment/>
      <protection/>
    </xf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6" fillId="13" borderId="0">
      <alignment/>
      <protection/>
    </xf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6" fillId="22" borderId="0">
      <alignment/>
      <protection/>
    </xf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6" fillId="5" borderId="0">
      <alignment/>
      <protection/>
    </xf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6" fillId="22" borderId="0">
      <alignment/>
      <protection/>
    </xf>
    <xf numFmtId="0" fontId="2" fillId="34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6" fillId="36" borderId="0">
      <alignment/>
      <protection/>
    </xf>
    <xf numFmtId="0" fontId="2" fillId="35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6" fillId="38" borderId="0">
      <alignment/>
      <protection/>
    </xf>
    <xf numFmtId="0" fontId="2" fillId="37" borderId="0">
      <alignment/>
      <protection/>
    </xf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6" fillId="40" borderId="0">
      <alignment/>
      <protection/>
    </xf>
    <xf numFmtId="0" fontId="2" fillId="39" borderId="0">
      <alignment/>
      <protection/>
    </xf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6" fillId="22" borderId="0">
      <alignment/>
      <protection/>
    </xf>
    <xf numFmtId="0" fontId="2" fillId="41" borderId="0">
      <alignment/>
      <protection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6" fillId="43" borderId="0">
      <alignment/>
      <protection/>
    </xf>
    <xf numFmtId="0" fontId="2" fillId="42" borderId="0">
      <alignment/>
      <protection/>
    </xf>
    <xf numFmtId="0" fontId="17" fillId="44" borderId="0">
      <alignment/>
      <protection/>
    </xf>
    <xf numFmtId="0" fontId="18" fillId="45" borderId="1">
      <alignment/>
      <protection/>
    </xf>
    <xf numFmtId="0" fontId="52" fillId="46" borderId="2" applyNumberFormat="0" applyAlignment="0" applyProtection="0"/>
    <xf numFmtId="0" fontId="52" fillId="46" borderId="2">
      <alignment/>
      <protection/>
    </xf>
    <xf numFmtId="0" fontId="19" fillId="47" borderId="3">
      <alignment/>
      <protection/>
    </xf>
    <xf numFmtId="165" fontId="1" fillId="0" borderId="0" applyFill="0" applyBorder="0" applyAlignment="0" applyProtection="0"/>
    <xf numFmtId="0" fontId="3" fillId="48" borderId="4" applyNumberFormat="0" applyAlignment="0" applyProtection="0"/>
    <xf numFmtId="0" fontId="3" fillId="48" borderId="4" applyNumberFormat="0" applyAlignment="0" applyProtection="0"/>
    <xf numFmtId="0" fontId="3" fillId="48" borderId="4">
      <alignment/>
      <protection/>
    </xf>
    <xf numFmtId="0" fontId="3" fillId="48" borderId="4">
      <alignment/>
      <protection/>
    </xf>
    <xf numFmtId="0" fontId="3" fillId="48" borderId="4">
      <alignment/>
      <protection/>
    </xf>
    <xf numFmtId="0" fontId="3" fillId="48" borderId="4" applyNumberFormat="0" applyAlignment="0" applyProtection="0"/>
    <xf numFmtId="164" fontId="0" fillId="0" borderId="0">
      <alignment/>
      <protection/>
    </xf>
    <xf numFmtId="0" fontId="20" fillId="0" borderId="0">
      <alignment/>
      <protection/>
    </xf>
    <xf numFmtId="0" fontId="26" fillId="0" borderId="5">
      <alignment/>
      <protection/>
    </xf>
    <xf numFmtId="0" fontId="53" fillId="0" borderId="6" applyNumberFormat="0" applyFill="0" applyAlignment="0" applyProtection="0"/>
    <xf numFmtId="0" fontId="53" fillId="0" borderId="6">
      <alignment/>
      <protection/>
    </xf>
    <xf numFmtId="0" fontId="21" fillId="49" borderId="0">
      <alignment/>
      <protection/>
    </xf>
    <xf numFmtId="0" fontId="54" fillId="50" borderId="0" applyNumberFormat="0" applyBorder="0" applyAlignment="0" applyProtection="0"/>
    <xf numFmtId="0" fontId="55" fillId="50" borderId="0">
      <alignment/>
      <protection/>
    </xf>
    <xf numFmtId="0" fontId="54" fillId="50" borderId="0">
      <alignment/>
      <protection/>
    </xf>
    <xf numFmtId="0" fontId="22" fillId="0" borderId="7">
      <alignment/>
      <protection/>
    </xf>
    <xf numFmtId="0" fontId="23" fillId="0" borderId="8">
      <alignment/>
      <protection/>
    </xf>
    <xf numFmtId="0" fontId="24" fillId="0" borderId="9">
      <alignment/>
      <protection/>
    </xf>
    <xf numFmtId="0" fontId="24" fillId="0" borderId="0">
      <alignment/>
      <protection/>
    </xf>
    <xf numFmtId="0" fontId="25" fillId="16" borderId="1">
      <alignment/>
      <protection/>
    </xf>
    <xf numFmtId="0" fontId="56" fillId="3" borderId="2" applyNumberFormat="0" applyAlignment="0" applyProtection="0"/>
    <xf numFmtId="0" fontId="56" fillId="3" borderId="2" applyNumberFormat="0" applyAlignment="0" applyProtection="0"/>
    <xf numFmtId="0" fontId="56" fillId="3" borderId="2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165" fontId="14" fillId="0" borderId="0">
      <alignment/>
      <protection/>
    </xf>
    <xf numFmtId="43" fontId="1" fillId="0" borderId="0" applyFont="0" applyFill="0" applyBorder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>
      <alignment/>
      <protection/>
    </xf>
    <xf numFmtId="0" fontId="57" fillId="0" borderId="10">
      <alignment/>
      <protection/>
    </xf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>
      <alignment/>
      <protection/>
    </xf>
    <xf numFmtId="0" fontId="58" fillId="0" borderId="10">
      <alignment/>
      <protection/>
    </xf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>
      <alignment/>
      <protection/>
    </xf>
    <xf numFmtId="0" fontId="59" fillId="0" borderId="11">
      <alignment/>
      <protection/>
    </xf>
    <xf numFmtId="0" fontId="59" fillId="0" borderId="0" applyNumberFormat="0" applyFill="0" applyBorder="0" applyAlignment="0" applyProtection="0"/>
    <xf numFmtId="0" fontId="59" fillId="0" borderId="0">
      <alignment/>
      <protection/>
    </xf>
    <xf numFmtId="0" fontId="27" fillId="16" borderId="0">
      <alignment/>
      <protection/>
    </xf>
    <xf numFmtId="0" fontId="60" fillId="51" borderId="0" applyNumberFormat="0" applyBorder="0" applyAlignment="0" applyProtection="0"/>
    <xf numFmtId="0" fontId="60" fillId="51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2">
      <alignment/>
      <protection/>
    </xf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>
      <alignment/>
      <protection/>
    </xf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>
      <alignment/>
      <protection/>
    </xf>
    <xf numFmtId="0" fontId="28" fillId="45" borderId="13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>
      <alignment/>
      <protection/>
    </xf>
    <xf numFmtId="9" fontId="1" fillId="0" borderId="0" applyFill="0" applyBorder="0" applyAlignment="0" applyProtection="0"/>
    <xf numFmtId="9" fontId="13" fillId="0" borderId="0">
      <alignment/>
      <protection/>
    </xf>
    <xf numFmtId="9" fontId="14" fillId="0" borderId="0">
      <alignment/>
      <protection/>
    </xf>
    <xf numFmtId="9" fontId="1" fillId="0" borderId="0" applyFont="0" applyFill="0" applyBorder="0" applyAlignment="0" applyProtection="0"/>
    <xf numFmtId="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>
      <alignment/>
      <protection/>
    </xf>
    <xf numFmtId="0" fontId="30" fillId="0" borderId="14">
      <alignment/>
      <protection/>
    </xf>
    <xf numFmtId="0" fontId="4" fillId="0" borderId="15" applyNumberFormat="0" applyFill="0" applyAlignment="0" applyProtection="0"/>
    <xf numFmtId="0" fontId="4" fillId="0" borderId="15">
      <alignment/>
      <protection/>
    </xf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>
      <alignment/>
      <protection/>
    </xf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</cellStyleXfs>
  <cellXfs count="259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195" applyFont="1" applyAlignment="1">
      <alignment horizontal="center"/>
      <protection/>
    </xf>
    <xf numFmtId="14" fontId="0" fillId="0" borderId="0" xfId="195" applyNumberFormat="1" applyFont="1">
      <alignment/>
      <protection/>
    </xf>
    <xf numFmtId="167" fontId="0" fillId="0" borderId="0" xfId="195" applyNumberFormat="1" applyFont="1">
      <alignment/>
      <protection/>
    </xf>
    <xf numFmtId="4" fontId="0" fillId="0" borderId="0" xfId="195" applyNumberFormat="1" applyFont="1">
      <alignment/>
      <protection/>
    </xf>
    <xf numFmtId="4" fontId="0" fillId="0" borderId="2" xfId="195" applyNumberFormat="1" applyFont="1" applyBorder="1">
      <alignment/>
      <protection/>
    </xf>
    <xf numFmtId="14" fontId="0" fillId="0" borderId="0" xfId="0" applyNumberFormat="1" applyAlignment="1">
      <alignment/>
    </xf>
    <xf numFmtId="2" fontId="0" fillId="0" borderId="0" xfId="195" applyNumberFormat="1" applyFont="1">
      <alignment/>
      <protection/>
    </xf>
    <xf numFmtId="1" fontId="0" fillId="0" borderId="0" xfId="0" applyNumberFormat="1" applyAlignment="1">
      <alignment/>
    </xf>
    <xf numFmtId="0" fontId="0" fillId="53" borderId="0" xfId="0" applyFill="1" applyAlignment="1">
      <alignment/>
    </xf>
    <xf numFmtId="165" fontId="0" fillId="0" borderId="0" xfId="152" applyFont="1" applyAlignment="1">
      <alignment/>
    </xf>
    <xf numFmtId="10" fontId="0" fillId="0" borderId="0" xfId="187" applyNumberFormat="1" applyFont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0" fontId="9" fillId="0" borderId="0" xfId="195" applyFont="1" applyAlignment="1">
      <alignment horizontal="center"/>
      <protection/>
    </xf>
    <xf numFmtId="4" fontId="4" fillId="0" borderId="0" xfId="195" applyNumberFormat="1" applyFont="1" applyAlignment="1">
      <alignment horizontal="center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54" borderId="0" xfId="0" applyFill="1" applyAlignment="1">
      <alignment/>
    </xf>
    <xf numFmtId="1" fontId="0" fillId="0" borderId="11" xfId="0" applyNumberFormat="1" applyBorder="1" applyAlignment="1">
      <alignment/>
    </xf>
    <xf numFmtId="0" fontId="4" fillId="0" borderId="11" xfId="195" applyFont="1" applyBorder="1" applyAlignment="1">
      <alignment horizontal="center"/>
      <protection/>
    </xf>
    <xf numFmtId="0" fontId="1" fillId="0" borderId="0" xfId="195">
      <alignment/>
      <protection/>
    </xf>
    <xf numFmtId="169" fontId="0" fillId="0" borderId="0" xfId="0" applyNumberFormat="1" applyAlignment="1">
      <alignment/>
    </xf>
    <xf numFmtId="165" fontId="0" fillId="0" borderId="2" xfId="152" applyFont="1" applyBorder="1" applyAlignment="1">
      <alignment/>
    </xf>
    <xf numFmtId="170" fontId="0" fillId="0" borderId="0" xfId="187" applyNumberFormat="1" applyFont="1" applyAlignment="1">
      <alignment/>
    </xf>
    <xf numFmtId="171" fontId="0" fillId="0" borderId="0" xfId="0" applyNumberFormat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5" fontId="0" fillId="0" borderId="19" xfId="152" applyFont="1" applyBorder="1" applyAlignment="1">
      <alignment/>
    </xf>
    <xf numFmtId="0" fontId="0" fillId="0" borderId="20" xfId="0" applyBorder="1" applyAlignment="1">
      <alignment/>
    </xf>
    <xf numFmtId="171" fontId="0" fillId="0" borderId="21" xfId="152" applyNumberFormat="1" applyFont="1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17" borderId="23" xfId="0" applyFill="1" applyBorder="1" applyAlignment="1">
      <alignment/>
    </xf>
    <xf numFmtId="43" fontId="0" fillId="17" borderId="0" xfId="0" applyNumberFormat="1" applyFill="1" applyAlignment="1">
      <alignment/>
    </xf>
    <xf numFmtId="172" fontId="0" fillId="0" borderId="0" xfId="0" applyNumberFormat="1" applyAlignment="1">
      <alignment/>
    </xf>
    <xf numFmtId="2" fontId="1" fillId="0" borderId="0" xfId="205" applyNumberFormat="1">
      <alignment/>
      <protection/>
    </xf>
    <xf numFmtId="0" fontId="1" fillId="0" borderId="0" xfId="205">
      <alignment/>
      <protection/>
    </xf>
    <xf numFmtId="0" fontId="2" fillId="55" borderId="24" xfId="205" applyFont="1" applyFill="1" applyBorder="1">
      <alignment/>
      <protection/>
    </xf>
    <xf numFmtId="0" fontId="2" fillId="55" borderId="0" xfId="205" applyFont="1" applyFill="1">
      <alignment/>
      <protection/>
    </xf>
    <xf numFmtId="9" fontId="0" fillId="0" borderId="0" xfId="193" applyFont="1" applyAlignment="1">
      <alignment/>
    </xf>
    <xf numFmtId="14" fontId="1" fillId="0" borderId="0" xfId="205" applyNumberFormat="1">
      <alignment/>
      <protection/>
    </xf>
    <xf numFmtId="0" fontId="5" fillId="0" borderId="0" xfId="205" applyFont="1">
      <alignment/>
      <protection/>
    </xf>
    <xf numFmtId="173" fontId="0" fillId="0" borderId="0" xfId="159" applyNumberFormat="1" applyFont="1" applyAlignment="1">
      <alignment/>
    </xf>
    <xf numFmtId="43" fontId="0" fillId="0" borderId="0" xfId="159" applyFont="1" applyAlignment="1">
      <alignment/>
    </xf>
    <xf numFmtId="2" fontId="5" fillId="0" borderId="0" xfId="205" applyNumberFormat="1" applyFont="1">
      <alignment/>
      <protection/>
    </xf>
    <xf numFmtId="9" fontId="1" fillId="0" borderId="0" xfId="205" applyNumberFormat="1">
      <alignment/>
      <protection/>
    </xf>
    <xf numFmtId="43" fontId="1" fillId="0" borderId="0" xfId="205" applyNumberFormat="1">
      <alignment/>
      <protection/>
    </xf>
    <xf numFmtId="0" fontId="10" fillId="0" borderId="0" xfId="205" applyFont="1">
      <alignment/>
      <protection/>
    </xf>
    <xf numFmtId="10" fontId="0" fillId="0" borderId="0" xfId="193" applyNumberFormat="1" applyFont="1" applyAlignment="1">
      <alignment/>
    </xf>
    <xf numFmtId="43" fontId="0" fillId="0" borderId="0" xfId="0" applyNumberFormat="1" applyAlignment="1">
      <alignment/>
    </xf>
    <xf numFmtId="2" fontId="0" fillId="0" borderId="19" xfId="187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0" xfId="215" applyFont="1" applyAlignment="1">
      <alignment/>
    </xf>
    <xf numFmtId="44" fontId="0" fillId="0" borderId="0" xfId="0" applyNumberFormat="1" applyAlignment="1">
      <alignment/>
    </xf>
    <xf numFmtId="164" fontId="0" fillId="54" borderId="0" xfId="215" applyFont="1" applyFill="1" applyAlignment="1">
      <alignment/>
    </xf>
    <xf numFmtId="0" fontId="2" fillId="55" borderId="24" xfId="0" applyFont="1" applyFill="1" applyBorder="1" applyAlignment="1">
      <alignment/>
    </xf>
    <xf numFmtId="2" fontId="10" fillId="0" borderId="0" xfId="0" applyNumberFormat="1" applyFont="1" applyAlignment="1">
      <alignment/>
    </xf>
    <xf numFmtId="9" fontId="0" fillId="0" borderId="0" xfId="187" applyFon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14" fontId="0" fillId="56" borderId="0" xfId="0" applyNumberFormat="1" applyFill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/>
    </xf>
    <xf numFmtId="14" fontId="0" fillId="54" borderId="0" xfId="0" applyNumberForma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4" borderId="33" xfId="205" applyFill="1" applyBorder="1">
      <alignment/>
      <protection/>
    </xf>
    <xf numFmtId="0" fontId="1" fillId="4" borderId="28" xfId="205" applyFill="1" applyBorder="1">
      <alignment/>
      <protection/>
    </xf>
    <xf numFmtId="0" fontId="1" fillId="4" borderId="29" xfId="205" applyFill="1" applyBorder="1">
      <alignment/>
      <protection/>
    </xf>
    <xf numFmtId="43" fontId="1" fillId="4" borderId="11" xfId="205" applyNumberFormat="1" applyFill="1" applyBorder="1">
      <alignment/>
      <protection/>
    </xf>
    <xf numFmtId="43" fontId="1" fillId="4" borderId="32" xfId="205" applyNumberFormat="1" applyFill="1" applyBorder="1">
      <alignment/>
      <protection/>
    </xf>
    <xf numFmtId="0" fontId="0" fillId="54" borderId="26" xfId="0" applyFill="1" applyBorder="1" applyAlignment="1">
      <alignment/>
    </xf>
    <xf numFmtId="43" fontId="65" fillId="0" borderId="0" xfId="205" applyNumberFormat="1" applyFont="1">
      <alignment/>
      <protection/>
    </xf>
    <xf numFmtId="14" fontId="1" fillId="0" borderId="29" xfId="205" applyNumberFormat="1" applyBorder="1">
      <alignment/>
      <protection/>
    </xf>
    <xf numFmtId="0" fontId="1" fillId="0" borderId="30" xfId="205" applyBorder="1">
      <alignment/>
      <protection/>
    </xf>
    <xf numFmtId="0" fontId="1" fillId="0" borderId="27" xfId="205" applyBorder="1">
      <alignment/>
      <protection/>
    </xf>
    <xf numFmtId="0" fontId="1" fillId="0" borderId="28" xfId="205" applyBorder="1">
      <alignment/>
      <protection/>
    </xf>
    <xf numFmtId="0" fontId="1" fillId="0" borderId="29" xfId="205" applyBorder="1">
      <alignment/>
      <protection/>
    </xf>
    <xf numFmtId="4" fontId="1" fillId="0" borderId="32" xfId="205" applyNumberFormat="1" applyBorder="1">
      <alignment/>
      <protection/>
    </xf>
    <xf numFmtId="43" fontId="0" fillId="11" borderId="32" xfId="159" applyFont="1" applyFill="1" applyBorder="1" applyAlignment="1">
      <alignment/>
    </xf>
    <xf numFmtId="4" fontId="1" fillId="0" borderId="0" xfId="205" applyNumberFormat="1">
      <alignment/>
      <protection/>
    </xf>
    <xf numFmtId="0" fontId="1" fillId="4" borderId="28" xfId="205" applyFill="1" applyBorder="1" applyAlignment="1">
      <alignment horizontal="right"/>
      <protection/>
    </xf>
    <xf numFmtId="0" fontId="1" fillId="4" borderId="11" xfId="205" applyFill="1" applyBorder="1">
      <alignment/>
      <protection/>
    </xf>
    <xf numFmtId="174" fontId="0" fillId="0" borderId="0" xfId="159" applyNumberFormat="1" applyFont="1" applyAlignment="1">
      <alignment/>
    </xf>
    <xf numFmtId="0" fontId="1" fillId="45" borderId="29" xfId="205" applyFill="1" applyBorder="1" applyAlignment="1">
      <alignment horizontal="center"/>
      <protection/>
    </xf>
    <xf numFmtId="2" fontId="1" fillId="0" borderId="34" xfId="205" applyNumberFormat="1" applyBorder="1">
      <alignment/>
      <protection/>
    </xf>
    <xf numFmtId="2" fontId="1" fillId="0" borderId="35" xfId="205" applyNumberFormat="1" applyBorder="1">
      <alignment/>
      <protection/>
    </xf>
    <xf numFmtId="2" fontId="10" fillId="0" borderId="30" xfId="205" applyNumberFormat="1" applyFont="1" applyBorder="1">
      <alignment/>
      <protection/>
    </xf>
    <xf numFmtId="2" fontId="5" fillId="0" borderId="32" xfId="205" applyNumberFormat="1" applyFont="1" applyBorder="1">
      <alignment/>
      <protection/>
    </xf>
    <xf numFmtId="0" fontId="1" fillId="0" borderId="34" xfId="205" applyBorder="1">
      <alignment/>
      <protection/>
    </xf>
    <xf numFmtId="0" fontId="1" fillId="0" borderId="35" xfId="205" applyBorder="1">
      <alignment/>
      <protection/>
    </xf>
    <xf numFmtId="0" fontId="4" fillId="0" borderId="0" xfId="205" applyFont="1">
      <alignment/>
      <protection/>
    </xf>
    <xf numFmtId="2" fontId="5" fillId="0" borderId="11" xfId="205" applyNumberFormat="1" applyFont="1" applyBorder="1">
      <alignment/>
      <protection/>
    </xf>
    <xf numFmtId="0" fontId="1" fillId="57" borderId="28" xfId="205" applyFill="1" applyBorder="1" applyAlignment="1">
      <alignment horizontal="center"/>
      <protection/>
    </xf>
    <xf numFmtId="168" fontId="1" fillId="0" borderId="0" xfId="205" applyNumberFormat="1">
      <alignment/>
      <protection/>
    </xf>
    <xf numFmtId="174" fontId="1" fillId="0" borderId="0" xfId="205" applyNumberFormat="1">
      <alignment/>
      <protection/>
    </xf>
    <xf numFmtId="43" fontId="0" fillId="54" borderId="2" xfId="159" applyFont="1" applyFill="1" applyBorder="1" applyAlignment="1">
      <alignment/>
    </xf>
    <xf numFmtId="0" fontId="4" fillId="54" borderId="2" xfId="205" applyFont="1" applyFill="1" applyBorder="1">
      <alignment/>
      <protection/>
    </xf>
    <xf numFmtId="43" fontId="9" fillId="45" borderId="30" xfId="205" applyNumberFormat="1" applyFont="1" applyFill="1" applyBorder="1">
      <alignment/>
      <protection/>
    </xf>
    <xf numFmtId="14" fontId="1" fillId="0" borderId="28" xfId="205" applyNumberFormat="1" applyBorder="1">
      <alignment/>
      <protection/>
    </xf>
    <xf numFmtId="43" fontId="0" fillId="0" borderId="11" xfId="159" applyFont="1" applyBorder="1" applyAlignment="1">
      <alignment/>
    </xf>
    <xf numFmtId="0" fontId="1" fillId="0" borderId="2" xfId="205" applyBorder="1">
      <alignment/>
      <protection/>
    </xf>
    <xf numFmtId="0" fontId="1" fillId="0" borderId="2" xfId="205" applyBorder="1" applyAlignment="1">
      <alignment horizontal="center"/>
      <protection/>
    </xf>
    <xf numFmtId="0" fontId="1" fillId="0" borderId="2" xfId="205" applyBorder="1" applyAlignment="1">
      <alignment horizontal="right"/>
      <protection/>
    </xf>
    <xf numFmtId="2" fontId="1" fillId="0" borderId="2" xfId="205" applyNumberFormat="1" applyBorder="1">
      <alignment/>
      <protection/>
    </xf>
    <xf numFmtId="0" fontId="0" fillId="45" borderId="2" xfId="0" applyFill="1" applyBorder="1" applyAlignment="1">
      <alignment/>
    </xf>
    <xf numFmtId="0" fontId="0" fillId="54" borderId="22" xfId="0" applyFill="1" applyBorder="1" applyAlignment="1">
      <alignment/>
    </xf>
    <xf numFmtId="0" fontId="0" fillId="54" borderId="23" xfId="0" applyFill="1" applyBorder="1" applyAlignment="1">
      <alignment/>
    </xf>
    <xf numFmtId="14" fontId="1" fillId="0" borderId="2" xfId="205" applyNumberFormat="1" applyBorder="1">
      <alignment/>
      <protection/>
    </xf>
    <xf numFmtId="43" fontId="1" fillId="0" borderId="2" xfId="205" applyNumberFormat="1" applyBorder="1">
      <alignment/>
      <protection/>
    </xf>
    <xf numFmtId="168" fontId="1" fillId="0" borderId="35" xfId="205" applyNumberFormat="1" applyBorder="1">
      <alignment/>
      <protection/>
    </xf>
    <xf numFmtId="43" fontId="0" fillId="45" borderId="2" xfId="159" applyFont="1" applyFill="1" applyBorder="1" applyAlignment="1">
      <alignment/>
    </xf>
    <xf numFmtId="2" fontId="66" fillId="0" borderId="34" xfId="205" applyNumberFormat="1" applyFont="1" applyBorder="1">
      <alignment/>
      <protection/>
    </xf>
    <xf numFmtId="0" fontId="66" fillId="0" borderId="34" xfId="205" applyFont="1" applyBorder="1">
      <alignment/>
      <protection/>
    </xf>
    <xf numFmtId="168" fontId="66" fillId="0" borderId="32" xfId="205" applyNumberFormat="1" applyFont="1" applyBorder="1">
      <alignment/>
      <protection/>
    </xf>
    <xf numFmtId="0" fontId="10" fillId="45" borderId="2" xfId="205" applyFont="1" applyFill="1" applyBorder="1">
      <alignment/>
      <protection/>
    </xf>
    <xf numFmtId="0" fontId="1" fillId="45" borderId="2" xfId="205" applyFill="1" applyBorder="1">
      <alignment/>
      <protection/>
    </xf>
    <xf numFmtId="43" fontId="0" fillId="45" borderId="2" xfId="0" applyNumberFormat="1" applyFill="1" applyBorder="1" applyAlignment="1">
      <alignment/>
    </xf>
    <xf numFmtId="2" fontId="5" fillId="45" borderId="32" xfId="205" applyNumberFormat="1" applyFont="1" applyFill="1" applyBorder="1">
      <alignment/>
      <protection/>
    </xf>
    <xf numFmtId="0" fontId="1" fillId="0" borderId="34" xfId="205" applyBorder="1" applyAlignment="1">
      <alignment horizontal="right"/>
      <protection/>
    </xf>
    <xf numFmtId="0" fontId="1" fillId="4" borderId="36" xfId="205" applyFill="1" applyBorder="1" applyAlignment="1">
      <alignment horizontal="right"/>
      <protection/>
    </xf>
    <xf numFmtId="0" fontId="4" fillId="54" borderId="28" xfId="205" applyFont="1" applyFill="1" applyBorder="1">
      <alignment/>
      <protection/>
    </xf>
    <xf numFmtId="0" fontId="4" fillId="54" borderId="29" xfId="205" applyFont="1" applyFill="1" applyBorder="1">
      <alignment/>
      <protection/>
    </xf>
    <xf numFmtId="0" fontId="1" fillId="0" borderId="11" xfId="205" applyBorder="1">
      <alignment/>
      <protection/>
    </xf>
    <xf numFmtId="0" fontId="4" fillId="54" borderId="31" xfId="205" applyFont="1" applyFill="1" applyBorder="1">
      <alignment/>
      <protection/>
    </xf>
    <xf numFmtId="43" fontId="1" fillId="54" borderId="31" xfId="205" applyNumberFormat="1" applyFill="1" applyBorder="1">
      <alignment/>
      <protection/>
    </xf>
    <xf numFmtId="2" fontId="1" fillId="54" borderId="37" xfId="205" applyNumberFormat="1" applyFill="1" applyBorder="1">
      <alignment/>
      <protection/>
    </xf>
    <xf numFmtId="166" fontId="0" fillId="0" borderId="0" xfId="0" applyNumberFormat="1" applyAlignment="1">
      <alignment/>
    </xf>
    <xf numFmtId="1" fontId="1" fillId="54" borderId="26" xfId="205" applyNumberFormat="1" applyFill="1" applyBorder="1">
      <alignment/>
      <protection/>
    </xf>
    <xf numFmtId="43" fontId="1" fillId="45" borderId="2" xfId="205" applyNumberFormat="1" applyFill="1" applyBorder="1">
      <alignment/>
      <protection/>
    </xf>
    <xf numFmtId="175" fontId="4" fillId="54" borderId="22" xfId="205" applyNumberFormat="1" applyFont="1" applyFill="1" applyBorder="1">
      <alignment/>
      <protection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65" fontId="32" fillId="0" borderId="0" xfId="152" applyFont="1" applyAlignment="1">
      <alignment/>
    </xf>
    <xf numFmtId="2" fontId="0" fillId="54" borderId="26" xfId="0" applyNumberFormat="1" applyFill="1" applyBorder="1" applyAlignment="1">
      <alignment/>
    </xf>
    <xf numFmtId="44" fontId="0" fillId="54" borderId="26" xfId="0" applyNumberFormat="1" applyFill="1" applyBorder="1" applyAlignment="1">
      <alignment/>
    </xf>
    <xf numFmtId="2" fontId="1" fillId="0" borderId="0" xfId="200" applyNumberFormat="1">
      <alignment/>
      <protection/>
    </xf>
    <xf numFmtId="43" fontId="4" fillId="45" borderId="26" xfId="205" applyNumberFormat="1" applyFont="1" applyFill="1" applyBorder="1">
      <alignment/>
      <protection/>
    </xf>
    <xf numFmtId="14" fontId="1" fillId="0" borderId="2" xfId="205" applyNumberFormat="1" applyBorder="1" applyAlignment="1">
      <alignment horizontal="center"/>
      <protection/>
    </xf>
    <xf numFmtId="14" fontId="33" fillId="0" borderId="0" xfId="0" applyNumberFormat="1" applyFont="1" applyAlignment="1">
      <alignment/>
    </xf>
    <xf numFmtId="1" fontId="1" fillId="0" borderId="0" xfId="205" applyNumberFormat="1">
      <alignment/>
      <protection/>
    </xf>
    <xf numFmtId="1" fontId="10" fillId="0" borderId="11" xfId="205" applyNumberFormat="1" applyFont="1" applyBorder="1">
      <alignment/>
      <protection/>
    </xf>
    <xf numFmtId="0" fontId="1" fillId="0" borderId="38" xfId="205" applyBorder="1">
      <alignment/>
      <protection/>
    </xf>
    <xf numFmtId="0" fontId="1" fillId="45" borderId="28" xfId="205" applyFill="1" applyBorder="1" applyAlignment="1">
      <alignment horizontal="center"/>
      <protection/>
    </xf>
    <xf numFmtId="168" fontId="66" fillId="0" borderId="11" xfId="205" applyNumberFormat="1" applyFont="1" applyBorder="1">
      <alignment/>
      <protection/>
    </xf>
    <xf numFmtId="2" fontId="5" fillId="45" borderId="11" xfId="205" applyNumberFormat="1" applyFont="1" applyFill="1" applyBorder="1">
      <alignment/>
      <protection/>
    </xf>
    <xf numFmtId="43" fontId="0" fillId="45" borderId="0" xfId="159" applyFont="1" applyFill="1" applyAlignment="1">
      <alignment/>
    </xf>
    <xf numFmtId="43" fontId="0" fillId="54" borderId="39" xfId="159" applyFont="1" applyFill="1" applyBorder="1" applyAlignment="1">
      <alignment/>
    </xf>
    <xf numFmtId="43" fontId="1" fillId="54" borderId="40" xfId="205" applyNumberFormat="1" applyFill="1" applyBorder="1">
      <alignment/>
      <protection/>
    </xf>
    <xf numFmtId="0" fontId="4" fillId="0" borderId="28" xfId="205" applyFont="1" applyBorder="1">
      <alignment/>
      <protection/>
    </xf>
    <xf numFmtId="2" fontId="1" fillId="0" borderId="36" xfId="205" applyNumberFormat="1" applyBorder="1">
      <alignment/>
      <protection/>
    </xf>
    <xf numFmtId="168" fontId="66" fillId="9" borderId="33" xfId="205" applyNumberFormat="1" applyFont="1" applyFill="1" applyBorder="1">
      <alignment/>
      <protection/>
    </xf>
    <xf numFmtId="43" fontId="0" fillId="45" borderId="41" xfId="159" applyFont="1" applyFill="1" applyBorder="1" applyAlignment="1">
      <alignment/>
    </xf>
    <xf numFmtId="0" fontId="1" fillId="11" borderId="30" xfId="205" applyFill="1" applyBorder="1">
      <alignment/>
      <protection/>
    </xf>
    <xf numFmtId="0" fontId="1" fillId="11" borderId="11" xfId="205" applyFill="1" applyBorder="1">
      <alignment/>
      <protection/>
    </xf>
    <xf numFmtId="0" fontId="1" fillId="0" borderId="42" xfId="205" applyBorder="1">
      <alignment/>
      <protection/>
    </xf>
    <xf numFmtId="0" fontId="1" fillId="0" borderId="43" xfId="205" applyBorder="1">
      <alignment/>
      <protection/>
    </xf>
    <xf numFmtId="43" fontId="0" fillId="54" borderId="44" xfId="159" applyFont="1" applyFill="1" applyBorder="1" applyAlignment="1">
      <alignment/>
    </xf>
    <xf numFmtId="0" fontId="1" fillId="0" borderId="45" xfId="205" applyBorder="1">
      <alignment/>
      <protection/>
    </xf>
    <xf numFmtId="0" fontId="1" fillId="0" borderId="46" xfId="205" applyBorder="1">
      <alignment/>
      <protection/>
    </xf>
    <xf numFmtId="0" fontId="1" fillId="0" borderId="47" xfId="205" applyBorder="1">
      <alignment/>
      <protection/>
    </xf>
    <xf numFmtId="0" fontId="1" fillId="0" borderId="31" xfId="205" applyBorder="1">
      <alignment/>
      <protection/>
    </xf>
    <xf numFmtId="10" fontId="1" fillId="0" borderId="37" xfId="205" applyNumberFormat="1" applyBorder="1">
      <alignment/>
      <protection/>
    </xf>
    <xf numFmtId="9" fontId="1" fillId="0" borderId="46" xfId="205" applyNumberFormat="1" applyBorder="1">
      <alignment/>
      <protection/>
    </xf>
    <xf numFmtId="174" fontId="0" fillId="54" borderId="46" xfId="159" applyNumberFormat="1" applyFont="1" applyFill="1" applyBorder="1" applyAlignment="1">
      <alignment/>
    </xf>
    <xf numFmtId="14" fontId="1" fillId="0" borderId="41" xfId="205" applyNumberFormat="1" applyBorder="1">
      <alignment/>
      <protection/>
    </xf>
    <xf numFmtId="0" fontId="1" fillId="0" borderId="27" xfId="205" applyBorder="1" applyAlignment="1">
      <alignment vertical="center" wrapText="1"/>
      <protection/>
    </xf>
    <xf numFmtId="14" fontId="1" fillId="11" borderId="29" xfId="205" applyNumberFormat="1" applyFill="1" applyBorder="1" applyAlignment="1">
      <alignment vertical="center"/>
      <protection/>
    </xf>
    <xf numFmtId="14" fontId="1" fillId="45" borderId="26" xfId="205" applyNumberFormat="1" applyFill="1" applyBorder="1">
      <alignment/>
      <protection/>
    </xf>
    <xf numFmtId="2" fontId="0" fillId="0" borderId="0" xfId="152" applyNumberFormat="1" applyFont="1" applyAlignment="1">
      <alignment/>
    </xf>
    <xf numFmtId="165" fontId="0" fillId="0" borderId="0" xfId="152" applyFont="1" applyFill="1" applyAlignment="1">
      <alignment/>
    </xf>
    <xf numFmtId="0" fontId="0" fillId="0" borderId="0" xfId="0" applyFill="1" applyAlignment="1">
      <alignment/>
    </xf>
    <xf numFmtId="0" fontId="67" fillId="0" borderId="0" xfId="0" applyFont="1" applyAlignment="1">
      <alignment/>
    </xf>
    <xf numFmtId="2" fontId="68" fillId="0" borderId="0" xfId="0" applyNumberFormat="1" applyFont="1" applyAlignment="1">
      <alignment/>
    </xf>
    <xf numFmtId="165" fontId="0" fillId="9" borderId="0" xfId="128" applyFont="1" applyFill="1" applyBorder="1" applyAlignment="1">
      <alignment horizontal="right"/>
    </xf>
    <xf numFmtId="165" fontId="0" fillId="9" borderId="24" xfId="128" applyFont="1" applyFill="1" applyBorder="1" applyAlignment="1">
      <alignment horizontal="right"/>
    </xf>
    <xf numFmtId="0" fontId="2" fillId="45" borderId="0" xfId="205" applyFont="1" applyFill="1" applyBorder="1" applyAlignment="1">
      <alignment horizontal="center" vertical="center" wrapText="1"/>
      <protection/>
    </xf>
    <xf numFmtId="0" fontId="2" fillId="45" borderId="0" xfId="205" applyFont="1" applyFill="1" applyBorder="1">
      <alignment/>
      <protection/>
    </xf>
    <xf numFmtId="171" fontId="3" fillId="55" borderId="24" xfId="128" applyNumberFormat="1" applyFont="1" applyFill="1" applyBorder="1" applyAlignment="1">
      <alignment horizontal="right"/>
    </xf>
    <xf numFmtId="2" fontId="34" fillId="55" borderId="24" xfId="128" applyNumberFormat="1" applyFont="1" applyFill="1" applyBorder="1" applyAlignment="1">
      <alignment horizontal="right"/>
    </xf>
    <xf numFmtId="2" fontId="34" fillId="55" borderId="48" xfId="128" applyNumberFormat="1" applyFont="1" applyFill="1" applyBorder="1" applyAlignment="1">
      <alignment horizontal="right"/>
    </xf>
    <xf numFmtId="171" fontId="0" fillId="9" borderId="24" xfId="128" applyNumberFormat="1" applyFont="1" applyFill="1" applyBorder="1" applyAlignment="1">
      <alignment/>
    </xf>
    <xf numFmtId="2" fontId="0" fillId="9" borderId="24" xfId="187" applyNumberFormat="1" applyFill="1" applyBorder="1" applyAlignment="1">
      <alignment horizontal="right"/>
    </xf>
    <xf numFmtId="0" fontId="2" fillId="55" borderId="24" xfId="0" applyFont="1" applyFill="1" applyBorder="1" applyAlignment="1">
      <alignment/>
    </xf>
    <xf numFmtId="0" fontId="2" fillId="45" borderId="49" xfId="0" applyFont="1" applyFill="1" applyBorder="1" applyAlignment="1">
      <alignment horizontal="center" vertical="center" wrapText="1"/>
    </xf>
    <xf numFmtId="2" fontId="1" fillId="58" borderId="0" xfId="205" applyNumberFormat="1" applyFill="1">
      <alignment/>
      <protection/>
    </xf>
    <xf numFmtId="0" fontId="1" fillId="58" borderId="0" xfId="205" applyFill="1">
      <alignment/>
      <protection/>
    </xf>
    <xf numFmtId="0" fontId="4" fillId="0" borderId="22" xfId="205" applyFont="1" applyBorder="1" applyAlignment="1">
      <alignment horizontal="center" vertical="center"/>
      <protection/>
    </xf>
    <xf numFmtId="0" fontId="4" fillId="0" borderId="22" xfId="205" applyFont="1" applyBorder="1" applyAlignment="1">
      <alignment horizontal="center" vertical="center" wrapText="1"/>
      <protection/>
    </xf>
    <xf numFmtId="0" fontId="4" fillId="59" borderId="23" xfId="205" applyFont="1" applyFill="1" applyBorder="1" applyAlignment="1">
      <alignment horizontal="center" vertical="center"/>
      <protection/>
    </xf>
    <xf numFmtId="2" fontId="1" fillId="0" borderId="0" xfId="200" applyNumberFormat="1" applyBorder="1">
      <alignment/>
      <protection/>
    </xf>
    <xf numFmtId="165" fontId="0" fillId="9" borderId="24" xfId="128" applyFont="1" applyFill="1" applyBorder="1" applyAlignment="1">
      <alignment horizontal="right"/>
    </xf>
    <xf numFmtId="2" fontId="0" fillId="9" borderId="24" xfId="187" applyNumberFormat="1" applyFill="1" applyBorder="1" applyAlignment="1">
      <alignment horizontal="right"/>
    </xf>
    <xf numFmtId="1" fontId="4" fillId="59" borderId="23" xfId="205" applyNumberFormat="1" applyFont="1" applyFill="1" applyBorder="1" applyAlignment="1">
      <alignment horizontal="center" vertical="center"/>
      <protection/>
    </xf>
    <xf numFmtId="0" fontId="5" fillId="0" borderId="0" xfId="205" applyFont="1" applyBorder="1">
      <alignment/>
      <protection/>
    </xf>
    <xf numFmtId="43" fontId="5" fillId="0" borderId="0" xfId="205" applyNumberFormat="1" applyFont="1" applyBorder="1">
      <alignment/>
      <protection/>
    </xf>
    <xf numFmtId="0" fontId="1" fillId="0" borderId="0" xfId="205" applyBorder="1">
      <alignment/>
      <protection/>
    </xf>
    <xf numFmtId="165" fontId="1" fillId="0" borderId="0" xfId="152" applyFont="1" applyBorder="1" applyAlignment="1">
      <alignment/>
    </xf>
    <xf numFmtId="14" fontId="1" fillId="0" borderId="0" xfId="205" applyNumberFormat="1" applyBorder="1">
      <alignment/>
      <protection/>
    </xf>
    <xf numFmtId="165" fontId="1" fillId="0" borderId="0" xfId="205" applyNumberFormat="1" applyBorder="1">
      <alignment/>
      <protection/>
    </xf>
    <xf numFmtId="43" fontId="1" fillId="0" borderId="0" xfId="205" applyNumberFormat="1" applyBorder="1">
      <alignment/>
      <protection/>
    </xf>
    <xf numFmtId="14" fontId="0" fillId="0" borderId="0" xfId="0" applyNumberFormat="1" applyBorder="1" applyAlignment="1">
      <alignment/>
    </xf>
    <xf numFmtId="43" fontId="10" fillId="0" borderId="0" xfId="205" applyNumberFormat="1" applyFont="1" applyBorder="1">
      <alignment/>
      <protection/>
    </xf>
    <xf numFmtId="2" fontId="1" fillId="0" borderId="0" xfId="205" applyNumberFormat="1" applyBorder="1">
      <alignment/>
      <protection/>
    </xf>
    <xf numFmtId="9" fontId="1" fillId="0" borderId="0" xfId="205" applyNumberFormat="1" applyBorder="1">
      <alignment/>
      <protection/>
    </xf>
    <xf numFmtId="10" fontId="1" fillId="0" borderId="0" xfId="205" applyNumberFormat="1" applyBorder="1">
      <alignment/>
      <protection/>
    </xf>
    <xf numFmtId="0" fontId="0" fillId="45" borderId="2" xfId="0" applyNumberFormat="1" applyFill="1" applyBorder="1" applyAlignment="1">
      <alignment/>
    </xf>
    <xf numFmtId="2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4" fontId="0" fillId="54" borderId="26" xfId="195" applyNumberFormat="1" applyFont="1" applyFill="1" applyBorder="1">
      <alignment/>
      <protection/>
    </xf>
    <xf numFmtId="165" fontId="0" fillId="0" borderId="38" xfId="152" applyFont="1" applyBorder="1" applyAlignment="1">
      <alignment/>
    </xf>
    <xf numFmtId="165" fontId="0" fillId="0" borderId="33" xfId="152" applyFont="1" applyBorder="1" applyAlignment="1">
      <alignment/>
    </xf>
    <xf numFmtId="0" fontId="11" fillId="0" borderId="0" xfId="0" applyFont="1" applyAlignment="1">
      <alignment/>
    </xf>
    <xf numFmtId="2" fontId="0" fillId="0" borderId="0" xfId="193" applyNumberFormat="1" applyFont="1" applyAlignment="1">
      <alignment/>
    </xf>
    <xf numFmtId="165" fontId="0" fillId="9" borderId="24" xfId="128" applyFont="1" applyFill="1" applyBorder="1" applyAlignment="1">
      <alignment horizontal="right"/>
    </xf>
    <xf numFmtId="2" fontId="0" fillId="9" borderId="24" xfId="187" applyNumberFormat="1" applyFont="1" applyFill="1" applyBorder="1" applyAlignment="1">
      <alignment horizontal="right"/>
    </xf>
    <xf numFmtId="2" fontId="0" fillId="54" borderId="24" xfId="187" applyNumberFormat="1" applyFont="1" applyFill="1" applyBorder="1" applyAlignment="1">
      <alignment horizontal="right"/>
    </xf>
    <xf numFmtId="2" fontId="1" fillId="0" borderId="0" xfId="200" applyNumberFormat="1" applyFill="1">
      <alignment/>
      <protection/>
    </xf>
    <xf numFmtId="9" fontId="0" fillId="0" borderId="0" xfId="193" applyFont="1" applyFill="1" applyAlignment="1">
      <alignment/>
    </xf>
    <xf numFmtId="2" fontId="0" fillId="0" borderId="0" xfId="0" applyNumberFormat="1" applyFill="1" applyAlignment="1">
      <alignment/>
    </xf>
    <xf numFmtId="1" fontId="1" fillId="54" borderId="2" xfId="205" applyNumberFormat="1" applyFill="1" applyBorder="1">
      <alignment/>
      <protection/>
    </xf>
    <xf numFmtId="2" fontId="1" fillId="54" borderId="0" xfId="200" applyNumberFormat="1" applyFill="1">
      <alignment/>
      <protection/>
    </xf>
    <xf numFmtId="0" fontId="1" fillId="54" borderId="0" xfId="205" applyFill="1">
      <alignment/>
      <protection/>
    </xf>
    <xf numFmtId="4" fontId="1" fillId="54" borderId="0" xfId="205" applyNumberFormat="1" applyFill="1">
      <alignment/>
      <protection/>
    </xf>
    <xf numFmtId="4" fontId="1" fillId="60" borderId="0" xfId="205" applyNumberFormat="1" applyFill="1">
      <alignment/>
      <protection/>
    </xf>
    <xf numFmtId="1" fontId="1" fillId="61" borderId="11" xfId="205" applyNumberFormat="1" applyFill="1" applyBorder="1">
      <alignment/>
      <protection/>
    </xf>
    <xf numFmtId="0" fontId="1" fillId="0" borderId="32" xfId="205" applyBorder="1">
      <alignment/>
      <protection/>
    </xf>
    <xf numFmtId="1" fontId="4" fillId="54" borderId="26" xfId="205" applyNumberFormat="1" applyFont="1" applyFill="1" applyBorder="1">
      <alignment/>
      <protection/>
    </xf>
    <xf numFmtId="1" fontId="1" fillId="61" borderId="28" xfId="205" applyNumberFormat="1" applyFill="1" applyBorder="1">
      <alignment/>
      <protection/>
    </xf>
    <xf numFmtId="0" fontId="9" fillId="0" borderId="27" xfId="205" applyFont="1" applyBorder="1">
      <alignment/>
      <protection/>
    </xf>
    <xf numFmtId="0" fontId="1" fillId="0" borderId="28" xfId="205" applyBorder="1" applyAlignment="1">
      <alignment horizontal="center"/>
      <protection/>
    </xf>
    <xf numFmtId="0" fontId="10" fillId="0" borderId="34" xfId="205" applyFont="1" applyBorder="1">
      <alignment/>
      <protection/>
    </xf>
    <xf numFmtId="0" fontId="4" fillId="62" borderId="35" xfId="205" applyFont="1" applyFill="1" applyBorder="1">
      <alignment/>
      <protection/>
    </xf>
    <xf numFmtId="0" fontId="4" fillId="62" borderId="32" xfId="205" applyFont="1" applyFill="1" applyBorder="1">
      <alignment/>
      <protection/>
    </xf>
    <xf numFmtId="0" fontId="1" fillId="0" borderId="0" xfId="205" applyFill="1">
      <alignment/>
      <protection/>
    </xf>
    <xf numFmtId="43" fontId="1" fillId="0" borderId="2" xfId="205" applyNumberFormat="1" applyFill="1" applyBorder="1">
      <alignment/>
      <protection/>
    </xf>
    <xf numFmtId="0" fontId="2" fillId="63" borderId="49" xfId="205" applyFont="1" applyFill="1" applyBorder="1" applyAlignment="1">
      <alignment horizontal="center" vertical="center" wrapText="1"/>
      <protection/>
    </xf>
    <xf numFmtId="0" fontId="2" fillId="55" borderId="49" xfId="205" applyFont="1" applyFill="1" applyBorder="1" applyAlignment="1">
      <alignment horizontal="center" vertical="center"/>
      <protection/>
    </xf>
    <xf numFmtId="0" fontId="2" fillId="54" borderId="0" xfId="205" applyFont="1" applyFill="1" applyBorder="1" applyAlignment="1">
      <alignment horizontal="center" vertical="center"/>
      <protection/>
    </xf>
    <xf numFmtId="0" fontId="0" fillId="54" borderId="0" xfId="0" applyFill="1" applyAlignment="1">
      <alignment horizontal="center" vertical="center"/>
    </xf>
    <xf numFmtId="0" fontId="2" fillId="64" borderId="49" xfId="0" applyFont="1" applyFill="1" applyBorder="1" applyAlignment="1">
      <alignment horizontal="center" vertical="center" wrapText="1"/>
    </xf>
    <xf numFmtId="0" fontId="0" fillId="64" borderId="49" xfId="0" applyFill="1" applyBorder="1" applyAlignment="1">
      <alignment horizontal="center" vertical="center" wrapText="1"/>
    </xf>
    <xf numFmtId="0" fontId="2" fillId="65" borderId="49" xfId="0" applyFont="1" applyFill="1" applyBorder="1" applyAlignment="1">
      <alignment horizontal="center" vertical="center" wrapText="1"/>
    </xf>
    <xf numFmtId="0" fontId="0" fillId="65" borderId="49" xfId="0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/>
    </xf>
    <xf numFmtId="4" fontId="0" fillId="62" borderId="38" xfId="195" applyNumberFormat="1" applyFont="1" applyFill="1" applyBorder="1">
      <alignment/>
      <protection/>
    </xf>
    <xf numFmtId="0" fontId="69" fillId="0" borderId="0" xfId="0" applyNumberFormat="1" applyFont="1" applyAlignment="1">
      <alignment/>
    </xf>
  </cellXfs>
  <cellStyles count="20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2 2" xfId="77"/>
    <cellStyle name="60% - Accent1 3" xfId="78"/>
    <cellStyle name="60% - Accent2" xfId="79"/>
    <cellStyle name="60% - Accent2 2" xfId="80"/>
    <cellStyle name="60% - Accent2 2 2" xfId="81"/>
    <cellStyle name="60% - Accent2 3" xfId="82"/>
    <cellStyle name="60% - Accent3" xfId="83"/>
    <cellStyle name="60% - Accent3 2" xfId="84"/>
    <cellStyle name="60% - Accent3 2 2" xfId="85"/>
    <cellStyle name="60% - Accent3 3" xfId="86"/>
    <cellStyle name="60% - Accent4" xfId="87"/>
    <cellStyle name="60% - Accent4 2" xfId="88"/>
    <cellStyle name="60% - Accent4 2 2" xfId="89"/>
    <cellStyle name="60% - Accent4 3" xfId="90"/>
    <cellStyle name="60% - Accent5" xfId="91"/>
    <cellStyle name="60% - Accent5 2" xfId="92"/>
    <cellStyle name="60% - Accent5 2 2" xfId="93"/>
    <cellStyle name="60% - Accent5 3" xfId="94"/>
    <cellStyle name="60% - Accent6" xfId="95"/>
    <cellStyle name="60% - Accent6 2" xfId="96"/>
    <cellStyle name="60% - Accent6 2 2" xfId="97"/>
    <cellStyle name="60% - Accent6 3" xfId="98"/>
    <cellStyle name="Accent1" xfId="99"/>
    <cellStyle name="Accent1 2" xfId="100"/>
    <cellStyle name="Accent1 2 2" xfId="101"/>
    <cellStyle name="Accent1 3" xfId="102"/>
    <cellStyle name="Accent2" xfId="103"/>
    <cellStyle name="Accent2 2" xfId="104"/>
    <cellStyle name="Accent2 2 2" xfId="105"/>
    <cellStyle name="Accent2 3" xfId="106"/>
    <cellStyle name="Accent3" xfId="107"/>
    <cellStyle name="Accent3 2" xfId="108"/>
    <cellStyle name="Accent3 2 2" xfId="109"/>
    <cellStyle name="Accent3 3" xfId="110"/>
    <cellStyle name="Accent4" xfId="111"/>
    <cellStyle name="Accent4 2" xfId="112"/>
    <cellStyle name="Accent4 2 2" xfId="113"/>
    <cellStyle name="Accent4 3" xfId="114"/>
    <cellStyle name="Accent5" xfId="115"/>
    <cellStyle name="Accent5 2" xfId="116"/>
    <cellStyle name="Accent5 2 2" xfId="117"/>
    <cellStyle name="Accent5 3" xfId="118"/>
    <cellStyle name="Accent6" xfId="119"/>
    <cellStyle name="Accent6 2" xfId="120"/>
    <cellStyle name="Accent6 2 2" xfId="121"/>
    <cellStyle name="Accent6 3" xfId="122"/>
    <cellStyle name="Bad" xfId="123"/>
    <cellStyle name="Berekening" xfId="124"/>
    <cellStyle name="Berekening 2" xfId="125"/>
    <cellStyle name="Berekening 2 2" xfId="126"/>
    <cellStyle name="Check Cell" xfId="127"/>
    <cellStyle name="Comma 2" xfId="128"/>
    <cellStyle name="Controlecel" xfId="129"/>
    <cellStyle name="Controlecel 2" xfId="130"/>
    <cellStyle name="Controlecel 2 2" xfId="131"/>
    <cellStyle name="Controlecel 2 3" xfId="132"/>
    <cellStyle name="Controlecel 3" xfId="133"/>
    <cellStyle name="Controlecel 4" xfId="134"/>
    <cellStyle name="Euro" xfId="135"/>
    <cellStyle name="Explanatory Text" xfId="136"/>
    <cellStyle name="Gekoppelde cel" xfId="137"/>
    <cellStyle name="Gekoppelde cel 2" xfId="138"/>
    <cellStyle name="Gekoppelde cel 2 2" xfId="139"/>
    <cellStyle name="Goed" xfId="140"/>
    <cellStyle name="Goed 2" xfId="141"/>
    <cellStyle name="Goed 2 2" xfId="142"/>
    <cellStyle name="Goed 3" xfId="143"/>
    <cellStyle name="Heading 1" xfId="144"/>
    <cellStyle name="Heading 2" xfId="145"/>
    <cellStyle name="Heading 3" xfId="146"/>
    <cellStyle name="Heading 4" xfId="147"/>
    <cellStyle name="Input" xfId="148"/>
    <cellStyle name="Invoer" xfId="149"/>
    <cellStyle name="Invoer 2" xfId="150"/>
    <cellStyle name="Invoer 2 2" xfId="151"/>
    <cellStyle name="Comma" xfId="152"/>
    <cellStyle name="Comma [0]" xfId="153"/>
    <cellStyle name="Komma 2" xfId="154"/>
    <cellStyle name="Komma 2 2" xfId="155"/>
    <cellStyle name="Komma 2 3" xfId="156"/>
    <cellStyle name="Komma 3" xfId="157"/>
    <cellStyle name="Komma 3 2" xfId="158"/>
    <cellStyle name="Komma 4" xfId="159"/>
    <cellStyle name="Kop 1" xfId="160"/>
    <cellStyle name="Kop 1 2" xfId="161"/>
    <cellStyle name="Kop 1 2 2" xfId="162"/>
    <cellStyle name="Kop 1 3" xfId="163"/>
    <cellStyle name="Kop 2" xfId="164"/>
    <cellStyle name="Kop 2 2" xfId="165"/>
    <cellStyle name="Kop 2 2 2" xfId="166"/>
    <cellStyle name="Kop 2 3" xfId="167"/>
    <cellStyle name="Kop 3" xfId="168"/>
    <cellStyle name="Kop 3 2" xfId="169"/>
    <cellStyle name="Kop 3 2 2" xfId="170"/>
    <cellStyle name="Kop 3 3" xfId="171"/>
    <cellStyle name="Kop 4" xfId="172"/>
    <cellStyle name="Kop 4 2" xfId="173"/>
    <cellStyle name="Neutraal" xfId="174"/>
    <cellStyle name="Neutraal 2" xfId="175"/>
    <cellStyle name="Neutraal 2 2" xfId="176"/>
    <cellStyle name="Normal 2" xfId="177"/>
    <cellStyle name="Normal 3" xfId="178"/>
    <cellStyle name="Note" xfId="179"/>
    <cellStyle name="Notitie" xfId="180"/>
    <cellStyle name="Notitie 2" xfId="181"/>
    <cellStyle name="Notitie 2 2" xfId="182"/>
    <cellStyle name="Ongeldig" xfId="183"/>
    <cellStyle name="Ongeldig 2" xfId="184"/>
    <cellStyle name="Ongeldig 2 2" xfId="185"/>
    <cellStyle name="Output" xfId="186"/>
    <cellStyle name="Percent" xfId="187"/>
    <cellStyle name="Procent 2" xfId="188"/>
    <cellStyle name="Procent 2 2" xfId="189"/>
    <cellStyle name="Procent 3" xfId="190"/>
    <cellStyle name="Procent 3 2" xfId="191"/>
    <cellStyle name="Procent 4" xfId="192"/>
    <cellStyle name="Procent 5" xfId="193"/>
    <cellStyle name="Procent 5 2" xfId="194"/>
    <cellStyle name="Standaard 2" xfId="195"/>
    <cellStyle name="Standaard 2 2" xfId="196"/>
    <cellStyle name="Standaard 2 2 2" xfId="197"/>
    <cellStyle name="Standaard 2 3" xfId="198"/>
    <cellStyle name="Standaard 2 4" xfId="199"/>
    <cellStyle name="Standaard 3" xfId="200"/>
    <cellStyle name="Standaard 3 2" xfId="201"/>
    <cellStyle name="Standaard 3 3" xfId="202"/>
    <cellStyle name="Standaard 3 4" xfId="203"/>
    <cellStyle name="Standaard 4" xfId="204"/>
    <cellStyle name="Standaard 5" xfId="205"/>
    <cellStyle name="Titel" xfId="206"/>
    <cellStyle name="Titel 2" xfId="207"/>
    <cellStyle name="Titel 2 2" xfId="208"/>
    <cellStyle name="Totaal" xfId="209"/>
    <cellStyle name="Totaal 2" xfId="210"/>
    <cellStyle name="Totaal 2 2" xfId="211"/>
    <cellStyle name="Uitvoer" xfId="212"/>
    <cellStyle name="Uitvoer 2" xfId="213"/>
    <cellStyle name="Uitvoer 2 2" xfId="214"/>
    <cellStyle name="Currency" xfId="215"/>
    <cellStyle name="Currency [0]" xfId="216"/>
    <cellStyle name="Valuta 2" xfId="217"/>
    <cellStyle name="Verklarende tekst" xfId="218"/>
    <cellStyle name="Verklarende tekst 2" xfId="219"/>
    <cellStyle name="Waarschuwingstekst" xfId="220"/>
    <cellStyle name="Waarschuwingstekst 2" xfId="221"/>
    <cellStyle name="Waarschuwingstekst 2 2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16</xdr:row>
      <xdr:rowOff>104775</xdr:rowOff>
    </xdr:from>
    <xdr:to>
      <xdr:col>5</xdr:col>
      <xdr:colOff>619125</xdr:colOff>
      <xdr:row>43</xdr:row>
      <xdr:rowOff>95250</xdr:rowOff>
    </xdr:to>
    <xdr:sp>
      <xdr:nvSpPr>
        <xdr:cNvPr id="1" name="Rechte verbindingslijn met pijl 2"/>
        <xdr:cNvSpPr>
          <a:spLocks/>
        </xdr:cNvSpPr>
      </xdr:nvSpPr>
      <xdr:spPr>
        <a:xfrm>
          <a:off x="4905375" y="2733675"/>
          <a:ext cx="2486025" cy="4429125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SIONFUNDS\OFFERTES\NEDERLAND\10000%20SQUARE%20KNOT\COLLECTIEVE%20OFFERTES%20SQUARE%20KNOT\METTLER%20TOLEDO\OFFERTEMODEL%20V%2011.0.F(INCL%20COMMISSION%20MORTALITY)%203%252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jvan\Documents\Morskieft%2020171016_calculation_evers%20zonder%20wz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SIONFUNDS\OFFERTES\NEDERLAND\10085%20MULTISAFE\NP%20MANTEL\BEREKENINGEN%20VOOR%20OFFERTE%20ALS%20UITGEBRACHT%20OBV%20YIELDCURVE%20311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%2523TEMP\WZP%20MULTISAFE%20MANTELREKENSHE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Versiebeheer"/>
      <sheetName val="Wensenlijstje"/>
      <sheetName val="File"/>
      <sheetName val="Tabellen"/>
      <sheetName val="Input"/>
      <sheetName val="Inputmgt"/>
      <sheetName val="Hulp"/>
      <sheetName val="dump"/>
      <sheetName val="Bestandberek"/>
      <sheetName val="Sectoren"/>
      <sheetName val="ToT 2009"/>
      <sheetName val="Pricing"/>
      <sheetName val="klantbestand"/>
      <sheetName val="TabelPVI"/>
      <sheetName val="Printbestand"/>
      <sheetName val="signaleringsbestand"/>
      <sheetName val="Tariefstabel"/>
      <sheetName val="Tabelhiaatcont"/>
      <sheetName val="Tabel1535"/>
      <sheetName val="TabelSL"/>
      <sheetName val="Tabelstoploss"/>
      <sheetName val="Tabelexc"/>
      <sheetName val="Tabelonderb"/>
      <sheetName val="Tabeloverl"/>
      <sheetName val="Mosesbestand_ovl"/>
      <sheetName val="Mosesbestand_di"/>
      <sheetName val="Ziekte en geen SRS"/>
      <sheetName val="Schadefile"/>
      <sheetName val="Schadeberek"/>
      <sheetName val="Schadebestand"/>
      <sheetName val="schades"/>
      <sheetName val="Schadeoverzichten"/>
      <sheetName val="sectorfactoren"/>
      <sheetName val="Printbestand_TBV EVM_Mor"/>
      <sheetName val="EVM_cash_flows_Mor"/>
      <sheetName val="EVM assumptions"/>
      <sheetName val="DI_prognosis"/>
      <sheetName val="Printbestand_TBV EVM_DI"/>
      <sheetName val="EVM_cash_flows_DI"/>
      <sheetName val="General data"/>
      <sheetName val="Omzetten"/>
      <sheetName val="BeschPremie"/>
      <sheetName val="WDstuur"/>
      <sheetName val="Basic Input"/>
      <sheetName val="Profit Formula"/>
      <sheetName val="Summary"/>
      <sheetName val="Parameters"/>
      <sheetName val="CashFlows"/>
      <sheetName val="Assumptions"/>
      <sheetName val="Histogram"/>
      <sheetName val="Control"/>
    </sheetNames>
    <sheetDataSet>
      <sheetData sheetId="5">
        <row r="134">
          <cell r="H134">
            <v>1.00299260255535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Allianz"/>
      <sheetName val="Nabestaandenpensioen"/>
    </sheetNames>
    <sheetDataSet>
      <sheetData sheetId="0">
        <row r="2">
          <cell r="G2">
            <v>276.92163533331143</v>
          </cell>
        </row>
      </sheetData>
      <sheetData sheetId="1">
        <row r="2">
          <cell r="A2" t="str">
            <v>Man</v>
          </cell>
          <cell r="B2">
            <v>28796</v>
          </cell>
          <cell r="E2">
            <v>90</v>
          </cell>
          <cell r="F2">
            <v>46726.56</v>
          </cell>
          <cell r="H2" t="str">
            <v>Vrouw</v>
          </cell>
          <cell r="I2">
            <v>28698</v>
          </cell>
          <cell r="L2" t="str">
            <v>14850</v>
          </cell>
          <cell r="P2">
            <v>67</v>
          </cell>
        </row>
      </sheetData>
      <sheetData sheetId="3">
        <row r="13">
          <cell r="B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enen"/>
      <sheetName val="tarief"/>
      <sheetName val="rente tarief gelijk"/>
      <sheetName val="stijgend"/>
      <sheetName val="sectorfactoren_pv tarief"/>
      <sheetName val="Offerte"/>
      <sheetName val="Compatibility Report"/>
      <sheetName val="m v tabel"/>
    </sheetNames>
    <sheetDataSet>
      <sheetData sheetId="1">
        <row r="9">
          <cell r="AN9">
            <v>0.01394</v>
          </cell>
        </row>
        <row r="10">
          <cell r="AN10">
            <v>0.01588</v>
          </cell>
        </row>
        <row r="11">
          <cell r="AN11">
            <v>0.01764</v>
          </cell>
        </row>
        <row r="12">
          <cell r="AN12">
            <v>0.01976</v>
          </cell>
        </row>
        <row r="13">
          <cell r="AN13">
            <v>0.02168</v>
          </cell>
        </row>
        <row r="14">
          <cell r="AN14">
            <v>0.02327</v>
          </cell>
        </row>
        <row r="15">
          <cell r="AN15">
            <v>0.02482</v>
          </cell>
        </row>
        <row r="16">
          <cell r="AN16">
            <v>0.02634</v>
          </cell>
        </row>
        <row r="17">
          <cell r="AN17">
            <v>0.02749</v>
          </cell>
        </row>
        <row r="18">
          <cell r="AN18">
            <v>0.0285</v>
          </cell>
        </row>
        <row r="19">
          <cell r="AN19">
            <v>0.02945</v>
          </cell>
        </row>
        <row r="20">
          <cell r="AN20">
            <v>0.03025</v>
          </cell>
        </row>
        <row r="21">
          <cell r="AN21">
            <v>0.03088</v>
          </cell>
        </row>
        <row r="22">
          <cell r="AN22">
            <v>0.03142</v>
          </cell>
        </row>
        <row r="23">
          <cell r="AN23">
            <v>0.0319</v>
          </cell>
        </row>
        <row r="24">
          <cell r="AN24">
            <v>0.032</v>
          </cell>
        </row>
        <row r="25">
          <cell r="AN25">
            <v>0.03209</v>
          </cell>
        </row>
        <row r="26">
          <cell r="AN26">
            <v>0.03218</v>
          </cell>
        </row>
        <row r="27">
          <cell r="AN27">
            <v>0.03225</v>
          </cell>
        </row>
        <row r="28">
          <cell r="AN28">
            <v>0.03232</v>
          </cell>
        </row>
        <row r="29">
          <cell r="AN29">
            <v>0.03203</v>
          </cell>
        </row>
        <row r="30">
          <cell r="AN30">
            <v>0.03177</v>
          </cell>
        </row>
        <row r="31">
          <cell r="AN31">
            <v>0.03153</v>
          </cell>
        </row>
        <row r="32">
          <cell r="AN32">
            <v>0.03132</v>
          </cell>
        </row>
        <row r="33">
          <cell r="AN33">
            <v>0.03112</v>
          </cell>
        </row>
        <row r="34">
          <cell r="AN34">
            <v>0.03068</v>
          </cell>
        </row>
        <row r="35">
          <cell r="AN35">
            <v>0.03027</v>
          </cell>
        </row>
        <row r="36">
          <cell r="AN36">
            <v>0.02989</v>
          </cell>
        </row>
        <row r="37">
          <cell r="AN37">
            <v>0.02954</v>
          </cell>
        </row>
        <row r="38">
          <cell r="AN38">
            <v>0.02922</v>
          </cell>
        </row>
        <row r="39">
          <cell r="AN39">
            <v>0.0289</v>
          </cell>
        </row>
        <row r="40">
          <cell r="AN40">
            <v>0.02861</v>
          </cell>
        </row>
        <row r="41">
          <cell r="AN41">
            <v>0.02834</v>
          </cell>
        </row>
        <row r="42">
          <cell r="AN42">
            <v>0.02808</v>
          </cell>
        </row>
        <row r="43">
          <cell r="AN43">
            <v>0.02784</v>
          </cell>
        </row>
        <row r="44">
          <cell r="AN44">
            <v>0.02761</v>
          </cell>
        </row>
        <row r="45">
          <cell r="AN45">
            <v>0.0274</v>
          </cell>
        </row>
        <row r="46">
          <cell r="AN46">
            <v>0.02719</v>
          </cell>
        </row>
        <row r="47">
          <cell r="AN47">
            <v>0.027</v>
          </cell>
        </row>
        <row r="48">
          <cell r="AN48">
            <v>0.02681</v>
          </cell>
        </row>
        <row r="49">
          <cell r="AN49">
            <v>0.02671</v>
          </cell>
        </row>
        <row r="50">
          <cell r="AN50">
            <v>0.02662</v>
          </cell>
        </row>
        <row r="51">
          <cell r="AN51">
            <v>0.02653</v>
          </cell>
        </row>
        <row r="52">
          <cell r="AN52">
            <v>0.02645</v>
          </cell>
        </row>
        <row r="53">
          <cell r="AN53">
            <v>0.02636</v>
          </cell>
        </row>
        <row r="54">
          <cell r="AN54">
            <v>0.02629</v>
          </cell>
        </row>
        <row r="55">
          <cell r="AN55">
            <v>0.02621</v>
          </cell>
        </row>
        <row r="56">
          <cell r="AN56">
            <v>0.02614</v>
          </cell>
        </row>
        <row r="57">
          <cell r="AN57">
            <v>0.02607</v>
          </cell>
        </row>
        <row r="58">
          <cell r="AN58">
            <v>0.02601</v>
          </cell>
        </row>
        <row r="59">
          <cell r="AN59">
            <v>0.02594</v>
          </cell>
        </row>
        <row r="60">
          <cell r="AN60">
            <v>0.02588</v>
          </cell>
        </row>
        <row r="61">
          <cell r="AN61">
            <v>0.02582</v>
          </cell>
        </row>
        <row r="62">
          <cell r="AN62">
            <v>0.02577</v>
          </cell>
        </row>
        <row r="63">
          <cell r="AN63">
            <v>0.02571</v>
          </cell>
        </row>
        <row r="64">
          <cell r="AN64">
            <v>0.02566</v>
          </cell>
        </row>
        <row r="65">
          <cell r="AN65">
            <v>0.02561</v>
          </cell>
        </row>
        <row r="66">
          <cell r="AN66">
            <v>0.02556</v>
          </cell>
        </row>
        <row r="67">
          <cell r="AN67">
            <v>0.02551</v>
          </cell>
        </row>
        <row r="68">
          <cell r="AN68">
            <v>0.02547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visie en opslagen invoer"/>
      <sheetName val="Wezenpensioen"/>
      <sheetName val="Tabellen"/>
    </sheetNames>
    <sheetDataSet>
      <sheetData sheetId="2">
        <row r="11">
          <cell r="AT11">
            <v>18</v>
          </cell>
          <cell r="AU11">
            <v>19.6068726904486</v>
          </cell>
          <cell r="AV11">
            <v>19.6068726904486</v>
          </cell>
          <cell r="AW11">
            <v>20.6445736783452</v>
          </cell>
          <cell r="AX11">
            <v>20.6445736783452</v>
          </cell>
        </row>
        <row r="12">
          <cell r="AT12">
            <v>19</v>
          </cell>
          <cell r="AU12">
            <v>19.6068726904486</v>
          </cell>
          <cell r="AV12">
            <v>20.0470687028689</v>
          </cell>
          <cell r="AW12">
            <v>20.6445736783452</v>
          </cell>
          <cell r="AX12">
            <v>21.1080672275103</v>
          </cell>
        </row>
        <row r="13">
          <cell r="AT13">
            <v>20</v>
          </cell>
          <cell r="AU13">
            <v>19.6068726904486</v>
          </cell>
          <cell r="AV13">
            <v>19.6960351363996</v>
          </cell>
          <cell r="AW13">
            <v>20.6445736783452</v>
          </cell>
          <cell r="AX13">
            <v>20.8044655545292</v>
          </cell>
        </row>
        <row r="14">
          <cell r="AT14">
            <v>21</v>
          </cell>
          <cell r="AU14">
            <v>20.0470687028689</v>
          </cell>
          <cell r="AV14">
            <v>20.8074041079168</v>
          </cell>
          <cell r="AW14">
            <v>21.1080672275103</v>
          </cell>
          <cell r="AX14">
            <v>21.9783788485592</v>
          </cell>
        </row>
        <row r="15">
          <cell r="AT15">
            <v>22</v>
          </cell>
          <cell r="AU15">
            <v>19.6960351363996</v>
          </cell>
          <cell r="AV15">
            <v>21.7730244205288</v>
          </cell>
          <cell r="AW15">
            <v>20.8044655545292</v>
          </cell>
          <cell r="AX15">
            <v>22.9983412112056</v>
          </cell>
        </row>
        <row r="16">
          <cell r="AT16">
            <v>23</v>
          </cell>
          <cell r="AU16">
            <v>20.8074041079168</v>
          </cell>
          <cell r="AV16">
            <v>22.8820790396006</v>
          </cell>
          <cell r="AW16">
            <v>21.9783788485592</v>
          </cell>
          <cell r="AX16">
            <v>24.1698099083715</v>
          </cell>
        </row>
        <row r="17">
          <cell r="AT17">
            <v>24</v>
          </cell>
          <cell r="AU17">
            <v>21.7730244205288</v>
          </cell>
          <cell r="AV17">
            <v>22.936746316967</v>
          </cell>
          <cell r="AW17">
            <v>22.9983412112056</v>
          </cell>
          <cell r="AX17">
            <v>24.3115429071598</v>
          </cell>
        </row>
        <row r="18">
          <cell r="AT18">
            <v>25</v>
          </cell>
          <cell r="AU18">
            <v>22.8820790396006</v>
          </cell>
          <cell r="AV18">
            <v>23.8914116551884</v>
          </cell>
          <cell r="AW18">
            <v>24.1698099083715</v>
          </cell>
          <cell r="AX18">
            <v>25.3234295545252</v>
          </cell>
        </row>
        <row r="19">
          <cell r="AT19">
            <v>26</v>
          </cell>
          <cell r="AU19">
            <v>22.936746316967</v>
          </cell>
          <cell r="AV19">
            <v>24.7100999042036</v>
          </cell>
          <cell r="AW19">
            <v>24.3115429071598</v>
          </cell>
          <cell r="AX19">
            <v>26.1911888355702</v>
          </cell>
        </row>
        <row r="20">
          <cell r="AT20">
            <v>27</v>
          </cell>
          <cell r="AU20">
            <v>23.8914116551884</v>
          </cell>
          <cell r="AV20">
            <v>25.4974028052926</v>
          </cell>
          <cell r="AW20">
            <v>25.3234295545252</v>
          </cell>
          <cell r="AX20">
            <v>27.0256815746993</v>
          </cell>
        </row>
        <row r="21">
          <cell r="AT21">
            <v>28</v>
          </cell>
          <cell r="AU21">
            <v>24.7100999042036</v>
          </cell>
          <cell r="AV21">
            <v>26.4736075870293</v>
          </cell>
          <cell r="AW21">
            <v>26.1911888355702</v>
          </cell>
          <cell r="AX21">
            <v>28.0603987097888</v>
          </cell>
        </row>
        <row r="22">
          <cell r="AT22">
            <v>29</v>
          </cell>
          <cell r="AU22">
            <v>25.4974028052926</v>
          </cell>
          <cell r="AV22">
            <v>26.2531604122383</v>
          </cell>
          <cell r="AW22">
            <v>27.0256815746993</v>
          </cell>
          <cell r="AX22">
            <v>27.9329245142798</v>
          </cell>
        </row>
        <row r="23">
          <cell r="AT23">
            <v>30</v>
          </cell>
          <cell r="AU23">
            <v>26.4736075870293</v>
          </cell>
          <cell r="AV23">
            <v>27.1351825800709</v>
          </cell>
          <cell r="AW23">
            <v>28.0603987097888</v>
          </cell>
          <cell r="AX23">
            <v>28.8713813799341</v>
          </cell>
        </row>
        <row r="24">
          <cell r="AT24">
            <v>31</v>
          </cell>
          <cell r="AU24">
            <v>26.2531604122383</v>
          </cell>
          <cell r="AV24">
            <v>28.2087426225795</v>
          </cell>
          <cell r="AW24">
            <v>27.9329245142798</v>
          </cell>
          <cell r="AX24">
            <v>30.0136313474832</v>
          </cell>
        </row>
        <row r="25">
          <cell r="AT25">
            <v>32</v>
          </cell>
          <cell r="AU25">
            <v>27.1351825800709</v>
          </cell>
          <cell r="AV25">
            <v>27.9149743139426</v>
          </cell>
          <cell r="AW25">
            <v>28.8713813799341</v>
          </cell>
          <cell r="AX25">
            <v>29.8268601991856</v>
          </cell>
        </row>
        <row r="26">
          <cell r="AT26">
            <v>33</v>
          </cell>
          <cell r="AU26">
            <v>28.2087426225795</v>
          </cell>
          <cell r="AV26">
            <v>29.058050030634</v>
          </cell>
          <cell r="AW26">
            <v>30.0136313474832</v>
          </cell>
          <cell r="AX26">
            <v>31.0482247333385</v>
          </cell>
        </row>
        <row r="27">
          <cell r="AT27">
            <v>34</v>
          </cell>
          <cell r="AU27">
            <v>27.9149743139426</v>
          </cell>
          <cell r="AV27">
            <v>28.5142085232905</v>
          </cell>
          <cell r="AW27">
            <v>29.8268601991856</v>
          </cell>
          <cell r="AX27">
            <v>30.6115513187221</v>
          </cell>
        </row>
        <row r="28">
          <cell r="AT28">
            <v>35</v>
          </cell>
          <cell r="AU28">
            <v>29.058050030634</v>
          </cell>
          <cell r="AV28">
            <v>29.3537685475778</v>
          </cell>
          <cell r="AW28">
            <v>31.0482247333385</v>
          </cell>
          <cell r="AX28">
            <v>31.5128645972452</v>
          </cell>
        </row>
        <row r="29">
          <cell r="AT29">
            <v>36</v>
          </cell>
          <cell r="AU29">
            <v>28.5142085232905</v>
          </cell>
          <cell r="AV29">
            <v>28.460403897778</v>
          </cell>
          <cell r="AW29">
            <v>30.6115513187221</v>
          </cell>
          <cell r="AX29">
            <v>30.7173988488941</v>
          </cell>
        </row>
        <row r="30">
          <cell r="AT30">
            <v>37</v>
          </cell>
          <cell r="AU30">
            <v>29.3537685475778</v>
          </cell>
          <cell r="AV30">
            <v>27.1807807266447</v>
          </cell>
          <cell r="AW30">
            <v>31.5128645972452</v>
          </cell>
          <cell r="AX30">
            <v>29.5161934909054</v>
          </cell>
        </row>
        <row r="31">
          <cell r="AT31">
            <v>38</v>
          </cell>
          <cell r="AU31">
            <v>28.460403897778</v>
          </cell>
          <cell r="AV31">
            <v>27.6036709970233</v>
          </cell>
          <cell r="AW31">
            <v>30.7173988488941</v>
          </cell>
          <cell r="AX31">
            <v>29.9754191169625</v>
          </cell>
        </row>
        <row r="32">
          <cell r="AT32">
            <v>39</v>
          </cell>
          <cell r="AU32">
            <v>27.1807807266447</v>
          </cell>
          <cell r="AV32">
            <v>26.0704225033223</v>
          </cell>
          <cell r="AW32">
            <v>29.5161934909054</v>
          </cell>
          <cell r="AX32">
            <v>28.5116395913744</v>
          </cell>
        </row>
        <row r="33">
          <cell r="AT33">
            <v>40</v>
          </cell>
          <cell r="AU33">
            <v>27.6036709970233</v>
          </cell>
          <cell r="AV33">
            <v>24.5688729732998</v>
          </cell>
          <cell r="AW33">
            <v>29.9754191169625</v>
          </cell>
          <cell r="AX33">
            <v>27.0927435638682</v>
          </cell>
        </row>
        <row r="34">
          <cell r="AT34">
            <v>41</v>
          </cell>
          <cell r="AU34">
            <v>26.0704225033223</v>
          </cell>
          <cell r="AV34">
            <v>22.919533352794</v>
          </cell>
          <cell r="AW34">
            <v>28.5116395913744</v>
          </cell>
          <cell r="AX34">
            <v>25.5221980401332</v>
          </cell>
        </row>
        <row r="35">
          <cell r="AT35">
            <v>42</v>
          </cell>
          <cell r="AU35">
            <v>24.5688729732998</v>
          </cell>
          <cell r="AV35">
            <v>21.116461348662</v>
          </cell>
          <cell r="AW35">
            <v>27.0927435638682</v>
          </cell>
          <cell r="AX35">
            <v>23.7910593590939</v>
          </cell>
        </row>
        <row r="36">
          <cell r="AT36">
            <v>43</v>
          </cell>
          <cell r="AU36">
            <v>22.919533352794</v>
          </cell>
          <cell r="AV36">
            <v>19.226252596333</v>
          </cell>
          <cell r="AW36">
            <v>25.5221980401332</v>
          </cell>
          <cell r="AX36">
            <v>21.9716873624487</v>
          </cell>
        </row>
        <row r="37">
          <cell r="AT37">
            <v>44</v>
          </cell>
          <cell r="AU37">
            <v>21.116461348662</v>
          </cell>
          <cell r="AV37">
            <v>17.3098004762941</v>
          </cell>
          <cell r="AW37">
            <v>23.7910593590939</v>
          </cell>
          <cell r="AX37">
            <v>20.1324044343332</v>
          </cell>
        </row>
        <row r="38">
          <cell r="AT38">
            <v>45</v>
          </cell>
          <cell r="AU38">
            <v>19.226252596333</v>
          </cell>
          <cell r="AV38">
            <v>15.294655803775</v>
          </cell>
          <cell r="AW38">
            <v>21.9716873624487</v>
          </cell>
          <cell r="AX38">
            <v>18.1882092662828</v>
          </cell>
        </row>
        <row r="39">
          <cell r="AT39">
            <v>46</v>
          </cell>
          <cell r="AU39">
            <v>17.3098004762941</v>
          </cell>
          <cell r="AV39">
            <v>13.2741185717976</v>
          </cell>
          <cell r="AW39">
            <v>20.1324044343332</v>
          </cell>
          <cell r="AX39">
            <v>16.2479627969167</v>
          </cell>
        </row>
        <row r="40">
          <cell r="AT40">
            <v>47</v>
          </cell>
          <cell r="AU40">
            <v>15.294655803775</v>
          </cell>
          <cell r="AV40">
            <v>11.133755380465</v>
          </cell>
          <cell r="AW40">
            <v>18.1882092662828</v>
          </cell>
          <cell r="AX40">
            <v>14.1703307405956</v>
          </cell>
        </row>
        <row r="41">
          <cell r="AT41">
            <v>48</v>
          </cell>
          <cell r="AU41">
            <v>13.2741185717976</v>
          </cell>
          <cell r="AV41">
            <v>8.99715755252063</v>
          </cell>
          <cell r="AW41">
            <v>16.2479627969167</v>
          </cell>
          <cell r="AX41">
            <v>12.1060200303702</v>
          </cell>
        </row>
        <row r="42">
          <cell r="AT42">
            <v>49</v>
          </cell>
          <cell r="AU42">
            <v>11.133755380465</v>
          </cell>
          <cell r="AV42">
            <v>6.75707082673895</v>
          </cell>
          <cell r="AW42">
            <v>14.1703307405956</v>
          </cell>
          <cell r="AX42">
            <v>9.90798204394438</v>
          </cell>
        </row>
        <row r="43">
          <cell r="AT43">
            <v>50</v>
          </cell>
          <cell r="AU43">
            <v>8.99715755252063</v>
          </cell>
          <cell r="AV43">
            <v>6.76861057921154</v>
          </cell>
          <cell r="AW43">
            <v>12.1060200303702</v>
          </cell>
          <cell r="AX43">
            <v>9.92490293514438</v>
          </cell>
        </row>
        <row r="44">
          <cell r="AT44">
            <v>51</v>
          </cell>
          <cell r="AU44">
            <v>6.75707082673895</v>
          </cell>
          <cell r="AV44">
            <v>4.46987324866696</v>
          </cell>
          <cell r="AW44">
            <v>9.90798204394438</v>
          </cell>
          <cell r="AX44">
            <v>7.6285275099934</v>
          </cell>
        </row>
        <row r="45">
          <cell r="AT45">
            <v>52</v>
          </cell>
          <cell r="AU45">
            <v>6.76861057921154</v>
          </cell>
          <cell r="AV45">
            <v>4.49702922223116</v>
          </cell>
          <cell r="AW45">
            <v>9.92490293514438</v>
          </cell>
          <cell r="AX45">
            <v>7.67487336363856</v>
          </cell>
        </row>
        <row r="46">
          <cell r="AT46">
            <v>53</v>
          </cell>
          <cell r="AU46">
            <v>4.46987324866696</v>
          </cell>
          <cell r="AV46">
            <v>2.24552273894977</v>
          </cell>
          <cell r="AW46">
            <v>7.6285275099934</v>
          </cell>
          <cell r="AX46">
            <v>5.44421722559096</v>
          </cell>
        </row>
        <row r="47">
          <cell r="AT47">
            <v>54</v>
          </cell>
          <cell r="AU47">
            <v>4.49702922223116</v>
          </cell>
          <cell r="AV47">
            <v>2.23467480301281</v>
          </cell>
          <cell r="AW47">
            <v>7.67487336363856</v>
          </cell>
          <cell r="AX47">
            <v>5.41791665928375</v>
          </cell>
        </row>
        <row r="48">
          <cell r="AT48">
            <v>55</v>
          </cell>
          <cell r="AU48">
            <v>2.24552273894977</v>
          </cell>
          <cell r="AV48">
            <v>2.22660738495139</v>
          </cell>
          <cell r="AW48">
            <v>5.44421722559096</v>
          </cell>
          <cell r="AX48">
            <v>5.39835739336576</v>
          </cell>
        </row>
        <row r="49">
          <cell r="AT49">
            <v>56</v>
          </cell>
          <cell r="AU49">
            <v>2.23467480301281</v>
          </cell>
          <cell r="AV49">
            <v>2.23197917598867</v>
          </cell>
          <cell r="AW49">
            <v>5.41791665928375</v>
          </cell>
          <cell r="AX49">
            <v>5.41138117477316</v>
          </cell>
        </row>
        <row r="50">
          <cell r="AT50">
            <v>57</v>
          </cell>
          <cell r="AU50">
            <v>2.22660738495139</v>
          </cell>
          <cell r="AV50">
            <v>0</v>
          </cell>
          <cell r="AW50">
            <v>5.39835739336576</v>
          </cell>
          <cell r="AX50">
            <v>3.17314544266569</v>
          </cell>
        </row>
        <row r="51">
          <cell r="AT51">
            <v>58</v>
          </cell>
          <cell r="AU51">
            <v>2.23197917598867</v>
          </cell>
          <cell r="AV51">
            <v>0</v>
          </cell>
          <cell r="AW51">
            <v>5.41138117477316</v>
          </cell>
          <cell r="AX51">
            <v>2.64522070525795</v>
          </cell>
        </row>
        <row r="52">
          <cell r="AT52">
            <v>59</v>
          </cell>
          <cell r="AU52">
            <v>0</v>
          </cell>
          <cell r="AV52">
            <v>0</v>
          </cell>
          <cell r="AW52">
            <v>3.17314544266569</v>
          </cell>
          <cell r="AX52">
            <v>2.10991471956233</v>
          </cell>
        </row>
        <row r="53">
          <cell r="AT53">
            <v>60</v>
          </cell>
          <cell r="AU53">
            <v>0</v>
          </cell>
          <cell r="AV53">
            <v>0</v>
          </cell>
          <cell r="AW53">
            <v>2.64522070525795</v>
          </cell>
          <cell r="AX53">
            <v>1.5726830720057</v>
          </cell>
        </row>
        <row r="54">
          <cell r="AT54">
            <v>61</v>
          </cell>
          <cell r="AU54">
            <v>0</v>
          </cell>
          <cell r="AV54">
            <v>0</v>
          </cell>
          <cell r="AW54">
            <v>2.10991471956233</v>
          </cell>
          <cell r="AX54">
            <v>1.04010914751182</v>
          </cell>
        </row>
        <row r="55">
          <cell r="AT55">
            <v>62</v>
          </cell>
          <cell r="AU55">
            <v>0</v>
          </cell>
          <cell r="AV55">
            <v>0</v>
          </cell>
          <cell r="AW55">
            <v>1.5726830720057</v>
          </cell>
          <cell r="AX55">
            <v>0.515766059064699</v>
          </cell>
        </row>
        <row r="56">
          <cell r="AT56">
            <v>63</v>
          </cell>
          <cell r="AU56">
            <v>0</v>
          </cell>
          <cell r="AV56">
            <v>0</v>
          </cell>
          <cell r="AW56">
            <v>1.04010914751182</v>
          </cell>
          <cell r="AX56">
            <v>0</v>
          </cell>
        </row>
        <row r="57">
          <cell r="AT57">
            <v>64</v>
          </cell>
          <cell r="AU57">
            <v>0</v>
          </cell>
          <cell r="AV57">
            <v>0</v>
          </cell>
          <cell r="AW57">
            <v>0.515766059064699</v>
          </cell>
          <cell r="AX57">
            <v>0</v>
          </cell>
        </row>
        <row r="58">
          <cell r="AT58">
            <v>65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T59">
            <v>65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C1">
      <selection activeCell="M2" sqref="M2"/>
    </sheetView>
  </sheetViews>
  <sheetFormatPr defaultColWidth="9.140625" defaultRowHeight="12.75"/>
  <cols>
    <col min="3" max="3" width="16.8515625" style="0" customWidth="1"/>
    <col min="4" max="4" width="21.57421875" style="0" customWidth="1"/>
    <col min="5" max="5" width="14.28125" style="0" customWidth="1"/>
    <col min="6" max="6" width="14.421875" style="0" customWidth="1"/>
    <col min="7" max="10" width="16.28125" style="0" customWidth="1"/>
    <col min="11" max="11" width="20.57421875" style="0" customWidth="1"/>
    <col min="12" max="12" width="21.140625" style="0" customWidth="1"/>
    <col min="13" max="13" width="20.57421875" style="0" customWidth="1"/>
  </cols>
  <sheetData>
    <row r="1" spans="1:13" ht="12.75">
      <c r="A1" t="s">
        <v>27</v>
      </c>
      <c r="B1" t="s">
        <v>1</v>
      </c>
      <c r="C1" t="s">
        <v>13</v>
      </c>
      <c r="D1" t="s">
        <v>40</v>
      </c>
      <c r="E1" t="s">
        <v>32</v>
      </c>
      <c r="F1" t="s">
        <v>12</v>
      </c>
      <c r="G1" s="11" t="s">
        <v>39</v>
      </c>
      <c r="H1" t="s">
        <v>23</v>
      </c>
      <c r="I1" t="s">
        <v>55</v>
      </c>
      <c r="J1" s="11" t="s">
        <v>14</v>
      </c>
      <c r="K1" t="s">
        <v>2</v>
      </c>
      <c r="L1" t="s">
        <v>35</v>
      </c>
      <c r="M1" t="s">
        <v>57</v>
      </c>
    </row>
    <row r="2" spans="1:13" ht="12.75">
      <c r="A2">
        <f>rekenen!N2</f>
        <v>60441.68</v>
      </c>
      <c r="B2" s="2">
        <f>rekenen!M4</f>
        <v>8015</v>
      </c>
      <c r="C2" s="2">
        <f>rekenen!G6</f>
        <v>22205.84</v>
      </c>
      <c r="D2" s="136">
        <f>IF(rekenen!B32=0,Allianz!W24,Allianz!V24)</f>
        <v>218674.84428926397</v>
      </c>
      <c r="E2" s="2">
        <f>IF(rekenen!B32=0,rekenen!C31,rekenen!C32)</f>
        <v>6890.472151999999</v>
      </c>
      <c r="F2">
        <f>IF(rekenen!B32=0,rekenen!C42,rekenen!C43)</f>
        <v>1378.0944304</v>
      </c>
      <c r="G2" s="2">
        <f>Allianz!AA26</f>
        <v>113.66674896238385</v>
      </c>
      <c r="H2" s="2">
        <f>output_premie_pj_np</f>
        <v>113.66674896238385</v>
      </c>
      <c r="I2" s="54">
        <f>Allianz!X27</f>
        <v>0</v>
      </c>
      <c r="J2" s="2">
        <f>Allianz!Y32</f>
        <v>13.229706531839998</v>
      </c>
      <c r="K2" s="2">
        <f>Allianz!Y34</f>
        <v>13.229706531839998</v>
      </c>
      <c r="L2">
        <f>Allianz!Y35</f>
        <v>0</v>
      </c>
      <c r="M2">
        <f>input_parttime_percentage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"/>
  <sheetViews>
    <sheetView zoomScalePageLayoutView="0" workbookViewId="0" topLeftCell="K1">
      <selection activeCell="O3" sqref="O3"/>
    </sheetView>
  </sheetViews>
  <sheetFormatPr defaultColWidth="27.00390625" defaultRowHeight="12.75"/>
  <cols>
    <col min="1" max="1" width="8.57421875" style="0" customWidth="1"/>
    <col min="2" max="2" width="15.28125" style="0" customWidth="1"/>
    <col min="3" max="3" width="16.28125" style="0" customWidth="1"/>
    <col min="4" max="4" width="13.7109375" style="0" customWidth="1"/>
    <col min="5" max="5" width="20.00390625" style="0" customWidth="1"/>
    <col min="6" max="6" width="15.140625" style="0" customWidth="1"/>
    <col min="7" max="7" width="16.140625" style="0" customWidth="1"/>
    <col min="8" max="8" width="15.140625" style="0" customWidth="1"/>
    <col min="9" max="9" width="16.28125" style="0" customWidth="1"/>
    <col min="10" max="10" width="23.140625" style="0" customWidth="1"/>
    <col min="11" max="11" width="15.8515625" style="0" customWidth="1"/>
    <col min="12" max="12" width="21.7109375" style="0" customWidth="1"/>
  </cols>
  <sheetData>
    <row r="1" spans="1:47" s="1" customFormat="1" ht="12.75">
      <c r="A1" t="s">
        <v>43</v>
      </c>
      <c r="B1" t="s">
        <v>25</v>
      </c>
      <c r="C1" t="s">
        <v>28</v>
      </c>
      <c r="D1" t="s">
        <v>62</v>
      </c>
      <c r="E1" t="s">
        <v>10</v>
      </c>
      <c r="F1" t="s">
        <v>11</v>
      </c>
      <c r="G1" t="s">
        <v>0</v>
      </c>
      <c r="H1" t="s">
        <v>53</v>
      </c>
      <c r="I1" t="s">
        <v>48</v>
      </c>
      <c r="J1" t="s">
        <v>41</v>
      </c>
      <c r="K1" t="s">
        <v>54</v>
      </c>
      <c r="L1" s="114" t="s">
        <v>7</v>
      </c>
      <c r="M1" s="114" t="s">
        <v>24</v>
      </c>
      <c r="N1" s="114" t="s">
        <v>13</v>
      </c>
      <c r="O1" s="114" t="s">
        <v>61</v>
      </c>
      <c r="P1" t="s">
        <v>29</v>
      </c>
      <c r="Q1" t="s">
        <v>19</v>
      </c>
      <c r="R1" s="1" t="s">
        <v>56</v>
      </c>
      <c r="S1" s="1" t="s">
        <v>47</v>
      </c>
      <c r="T1" s="1" t="s">
        <v>15</v>
      </c>
      <c r="U1" s="1" t="s">
        <v>49</v>
      </c>
      <c r="V1" s="1" t="s">
        <v>67</v>
      </c>
      <c r="W1" s="1" t="s">
        <v>68</v>
      </c>
      <c r="X1" s="1" t="s">
        <v>69</v>
      </c>
      <c r="Y1" s="1" t="s">
        <v>70</v>
      </c>
      <c r="Z1" s="1" t="s">
        <v>71</v>
      </c>
      <c r="AA1" s="1" t="s">
        <v>72</v>
      </c>
      <c r="AB1" s="1" t="s">
        <v>73</v>
      </c>
      <c r="AC1" s="1" t="s">
        <v>74</v>
      </c>
      <c r="AD1" s="1" t="s">
        <v>75</v>
      </c>
      <c r="AE1" s="1" t="s">
        <v>76</v>
      </c>
      <c r="AF1" s="1" t="s">
        <v>77</v>
      </c>
      <c r="AG1" s="1" t="s">
        <v>78</v>
      </c>
      <c r="AH1" s="1" t="s">
        <v>79</v>
      </c>
      <c r="AI1" s="1" t="s">
        <v>80</v>
      </c>
      <c r="AJ1" s="1" t="s">
        <v>81</v>
      </c>
      <c r="AK1" s="1" t="s">
        <v>82</v>
      </c>
      <c r="AL1" s="1" t="s">
        <v>83</v>
      </c>
      <c r="AM1" s="1" t="s">
        <v>84</v>
      </c>
      <c r="AN1" s="1" t="s">
        <v>85</v>
      </c>
      <c r="AO1" s="1" t="s">
        <v>160</v>
      </c>
      <c r="AP1" s="1" t="s">
        <v>161</v>
      </c>
      <c r="AQ1" s="1" t="s">
        <v>162</v>
      </c>
      <c r="AR1" s="1" t="s">
        <v>163</v>
      </c>
      <c r="AS1" s="216" t="s">
        <v>164</v>
      </c>
      <c r="AT1" s="182" t="s">
        <v>168</v>
      </c>
      <c r="AU1" s="181" t="s">
        <v>169</v>
      </c>
    </row>
    <row r="2" spans="1:47" ht="12.75">
      <c r="A2" t="s">
        <v>86</v>
      </c>
      <c r="B2" s="8">
        <v>27929</v>
      </c>
      <c r="C2" s="8">
        <v>42979</v>
      </c>
      <c r="D2">
        <v>4663.71</v>
      </c>
      <c r="E2">
        <v>50</v>
      </c>
      <c r="F2">
        <v>60441.68</v>
      </c>
      <c r="G2" t="s">
        <v>165</v>
      </c>
      <c r="I2" s="8">
        <v>25451</v>
      </c>
      <c r="J2">
        <v>0</v>
      </c>
      <c r="K2" s="8">
        <v>43914.5601034566</v>
      </c>
      <c r="L2" s="114" t="s">
        <v>166</v>
      </c>
      <c r="M2" s="114">
        <v>60441.68</v>
      </c>
      <c r="N2" s="114">
        <v>44411.68</v>
      </c>
      <c r="O2" s="114"/>
      <c r="P2">
        <v>68</v>
      </c>
      <c r="Q2" s="8"/>
      <c r="R2" s="8"/>
      <c r="S2" s="8"/>
      <c r="T2" s="8"/>
      <c r="U2" s="8"/>
      <c r="Y2">
        <v>100</v>
      </c>
      <c r="Z2">
        <v>0</v>
      </c>
      <c r="AA2">
        <v>100</v>
      </c>
      <c r="AB2">
        <v>0</v>
      </c>
      <c r="AC2">
        <v>0</v>
      </c>
      <c r="AH2">
        <v>18</v>
      </c>
      <c r="AI2">
        <v>20</v>
      </c>
      <c r="AJ2">
        <v>1.16</v>
      </c>
      <c r="AN2">
        <v>110111</v>
      </c>
      <c r="AO2" t="s">
        <v>167</v>
      </c>
      <c r="AP2">
        <v>0</v>
      </c>
      <c r="AQ2">
        <v>0</v>
      </c>
      <c r="AR2">
        <v>0</v>
      </c>
      <c r="AS2">
        <v>3.55</v>
      </c>
      <c r="AT2" t="s">
        <v>173</v>
      </c>
      <c r="AU2" s="181">
        <v>0</v>
      </c>
    </row>
    <row r="3" spans="12:15" ht="12.75">
      <c r="L3" s="114"/>
      <c r="M3" s="114"/>
      <c r="N3" s="114"/>
      <c r="O3" s="114"/>
    </row>
    <row r="4" spans="12:15" ht="12.75">
      <c r="L4" s="114"/>
      <c r="M4" s="114"/>
      <c r="N4" s="114"/>
      <c r="O4" s="114"/>
    </row>
    <row r="5" spans="12:15" ht="12.75">
      <c r="L5" s="114"/>
      <c r="M5" s="114"/>
      <c r="N5" s="114"/>
      <c r="O5" s="114"/>
    </row>
    <row r="6" spans="12:15" ht="12.75">
      <c r="L6" s="114"/>
      <c r="M6" s="114"/>
      <c r="N6" s="114"/>
      <c r="O6" s="114"/>
    </row>
    <row r="7" spans="12:15" ht="12.75">
      <c r="L7" s="114"/>
      <c r="M7" s="114"/>
      <c r="N7" s="114"/>
      <c r="O7" s="114"/>
    </row>
    <row r="8" spans="12:15" ht="12.75">
      <c r="L8" s="114"/>
      <c r="M8" s="114"/>
      <c r="N8" s="114"/>
      <c r="O8" s="114"/>
    </row>
  </sheetData>
  <sheetProtection/>
  <printOptions/>
  <pageMargins left="0.7" right="0.7" top="0.75" bottom="0.75" header="0.3" footer="0.3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L75"/>
  <sheetViews>
    <sheetView zoomScale="84" zoomScaleNormal="84" zoomScalePageLayoutView="0" workbookViewId="0" topLeftCell="O1">
      <selection activeCell="AB35" sqref="AB35"/>
    </sheetView>
  </sheetViews>
  <sheetFormatPr defaultColWidth="9.140625" defaultRowHeight="12.75"/>
  <cols>
    <col min="1" max="7" width="11.8515625" style="41" customWidth="1"/>
    <col min="8" max="8" width="9.140625" style="195" customWidth="1"/>
    <col min="9" max="11" width="13.7109375" style="41" customWidth="1"/>
    <col min="12" max="20" width="9.140625" style="41" customWidth="1"/>
    <col min="21" max="21" width="18.8515625" style="41" customWidth="1"/>
    <col min="22" max="22" width="9.7109375" style="41" customWidth="1"/>
    <col min="23" max="23" width="15.28125" style="41" customWidth="1"/>
    <col min="24" max="24" width="17.00390625" style="41" customWidth="1"/>
    <col min="25" max="25" width="17.57421875" style="41" customWidth="1"/>
    <col min="26" max="26" width="18.421875" style="41" customWidth="1"/>
    <col min="27" max="27" width="11.8515625" style="41" customWidth="1"/>
    <col min="28" max="31" width="13.140625" style="41" customWidth="1"/>
    <col min="32" max="32" width="23.8515625" style="41" customWidth="1"/>
    <col min="33" max="33" width="10.421875" style="41" customWidth="1"/>
    <col min="34" max="34" width="11.7109375" style="41" customWidth="1"/>
    <col min="35" max="35" width="16.7109375" style="41" customWidth="1"/>
    <col min="36" max="36" width="28.57421875" style="41" customWidth="1"/>
    <col min="37" max="37" width="14.57421875" style="41" customWidth="1"/>
    <col min="38" max="38" width="13.7109375" style="41" customWidth="1"/>
    <col min="39" max="16384" width="9.140625" style="41" customWidth="1"/>
  </cols>
  <sheetData>
    <row r="1" spans="1:34" ht="53.25" customHeight="1" thickBot="1">
      <c r="A1" s="246" t="s">
        <v>87</v>
      </c>
      <c r="B1" s="246"/>
      <c r="C1" s="246"/>
      <c r="D1" s="185"/>
      <c r="E1" s="248" t="s">
        <v>170</v>
      </c>
      <c r="F1" s="249"/>
      <c r="G1" s="249"/>
      <c r="H1" s="194"/>
      <c r="I1" s="247" t="s">
        <v>88</v>
      </c>
      <c r="J1" s="247"/>
      <c r="K1" s="247"/>
      <c r="M1" s="250" t="s">
        <v>171</v>
      </c>
      <c r="N1" s="251"/>
      <c r="O1" s="251"/>
      <c r="P1" s="193"/>
      <c r="Q1" s="252" t="s">
        <v>172</v>
      </c>
      <c r="R1" s="253"/>
      <c r="S1" s="253"/>
      <c r="T1" s="193"/>
      <c r="W1" s="41">
        <v>1</v>
      </c>
      <c r="X1" s="196" t="s">
        <v>174</v>
      </c>
      <c r="Y1" s="198">
        <f>Input_stijgende_uitkering*1</f>
        <v>0</v>
      </c>
      <c r="Z1" s="197" t="s">
        <v>175</v>
      </c>
      <c r="AA1" s="202">
        <f>input_bepaalde_partner*1</f>
        <v>0</v>
      </c>
      <c r="AF1" s="175" t="s">
        <v>158</v>
      </c>
      <c r="AG1" s="176">
        <f ca="1">DATE(YEAR(TODAY())-1,MONTH(AG2),DAY(1))</f>
        <v>43709</v>
      </c>
      <c r="AH1" s="45">
        <f ca="1">IF(input_datum_in_dienst&gt;(DATE(YEAR(TODAY()),1,1)),input_datum_in_dienst,(DATE(YEAR(TODAY()),1,1)))</f>
        <v>43831</v>
      </c>
    </row>
    <row r="2" spans="1:38" ht="15.75" thickBot="1">
      <c r="A2" s="42" t="s">
        <v>50</v>
      </c>
      <c r="B2" s="42" t="s">
        <v>86</v>
      </c>
      <c r="C2" s="42" t="s">
        <v>89</v>
      </c>
      <c r="D2" s="186"/>
      <c r="E2" s="187" t="s">
        <v>50</v>
      </c>
      <c r="F2" s="188" t="s">
        <v>86</v>
      </c>
      <c r="G2" s="189" t="s">
        <v>89</v>
      </c>
      <c r="H2" s="194"/>
      <c r="I2" s="42" t="s">
        <v>50</v>
      </c>
      <c r="J2" s="42" t="s">
        <v>90</v>
      </c>
      <c r="K2" s="42" t="s">
        <v>91</v>
      </c>
      <c r="M2" s="192" t="s">
        <v>90</v>
      </c>
      <c r="N2" s="192" t="s">
        <v>91</v>
      </c>
      <c r="O2" s="192"/>
      <c r="Q2" s="192" t="s">
        <v>90</v>
      </c>
      <c r="R2" s="192" t="s">
        <v>91</v>
      </c>
      <c r="U2" s="43" t="s">
        <v>92</v>
      </c>
      <c r="AF2" s="83" t="s">
        <v>159</v>
      </c>
      <c r="AG2" s="177">
        <f>input_datum_in_dienst</f>
        <v>42979</v>
      </c>
      <c r="AH2" s="174">
        <f ca="1">IF(input_datum_in_dienst&gt;(DATE(YEAR(TODAY()),2,1)),input_datum_in_dienst,(DATE(YEAR(TODAY()),2,1)))</f>
        <v>43862</v>
      </c>
      <c r="AI2" s="117"/>
      <c r="AJ2" s="147"/>
      <c r="AK2" s="111"/>
      <c r="AL2" s="112"/>
    </row>
    <row r="3" spans="1:38" ht="15">
      <c r="A3" s="41">
        <v>18</v>
      </c>
      <c r="B3" s="184">
        <v>0.5647941365335148</v>
      </c>
      <c r="C3" s="184">
        <v>0.5651408999870219</v>
      </c>
      <c r="D3"/>
      <c r="E3" s="190">
        <v>18</v>
      </c>
      <c r="F3" s="191">
        <v>0</v>
      </c>
      <c r="G3" s="191">
        <v>0</v>
      </c>
      <c r="H3" s="194"/>
      <c r="I3" s="41">
        <v>18</v>
      </c>
      <c r="J3" s="145">
        <v>36.54</v>
      </c>
      <c r="K3" s="145">
        <v>37.32</v>
      </c>
      <c r="L3" s="44"/>
      <c r="M3" s="1">
        <v>65.75</v>
      </c>
      <c r="N3" s="1">
        <v>68.68</v>
      </c>
      <c r="O3" s="1"/>
      <c r="P3" s="44"/>
      <c r="Q3" s="1">
        <v>93.22</v>
      </c>
      <c r="R3" s="1">
        <v>98.91</v>
      </c>
      <c r="S3" s="44"/>
      <c r="U3" s="41" t="s">
        <v>142</v>
      </c>
      <c r="X3" s="84" t="s">
        <v>93</v>
      </c>
      <c r="Y3" s="102">
        <v>12</v>
      </c>
      <c r="Z3" s="93"/>
      <c r="AA3" s="152"/>
      <c r="AB3" s="84" t="s">
        <v>98</v>
      </c>
      <c r="AC3" s="102">
        <v>12</v>
      </c>
      <c r="AD3" s="151"/>
      <c r="AF3" s="158" t="s">
        <v>94</v>
      </c>
      <c r="AG3" s="108">
        <f>rekenen!C2</f>
        <v>27929</v>
      </c>
      <c r="AH3" s="110"/>
      <c r="AI3" s="117"/>
      <c r="AJ3" s="117"/>
      <c r="AK3" s="113"/>
      <c r="AL3" s="113"/>
    </row>
    <row r="4" spans="1:38" ht="15.75" thickBot="1">
      <c r="A4" s="41">
        <v>19</v>
      </c>
      <c r="B4" s="184">
        <v>0.6662546508628588</v>
      </c>
      <c r="C4" s="184">
        <v>0.5908206426332824</v>
      </c>
      <c r="D4"/>
      <c r="E4" s="190">
        <v>19</v>
      </c>
      <c r="F4" s="191">
        <v>0</v>
      </c>
      <c r="G4" s="191">
        <v>0</v>
      </c>
      <c r="H4" s="194"/>
      <c r="I4" s="41">
        <v>19</v>
      </c>
      <c r="J4" s="145">
        <v>36.26</v>
      </c>
      <c r="K4" s="145">
        <v>37.06</v>
      </c>
      <c r="L4" s="44"/>
      <c r="M4" s="1">
        <v>64.77</v>
      </c>
      <c r="N4" s="1">
        <v>67.69</v>
      </c>
      <c r="O4" s="1"/>
      <c r="P4" s="44"/>
      <c r="Q4" s="1">
        <v>91.35</v>
      </c>
      <c r="R4" s="1">
        <v>96.97</v>
      </c>
      <c r="S4" s="44"/>
      <c r="U4" s="49">
        <f>AI4</f>
        <v>43</v>
      </c>
      <c r="V4" s="47">
        <f>INT(U4)</f>
        <v>43</v>
      </c>
      <c r="W4" s="92"/>
      <c r="X4" s="94">
        <f>IF(AA1=1,VLOOKUP(V4,A3:G51,2,),IF(AA1=0,VLOOKUP(V4,A3:G51,6,),0))</f>
        <v>4.17</v>
      </c>
      <c r="Y4" s="149">
        <f>AC4</f>
        <v>8</v>
      </c>
      <c r="Z4" s="119">
        <f>X4*Y4/$Y$3</f>
        <v>2.78</v>
      </c>
      <c r="AA4" s="103"/>
      <c r="AB4" s="98">
        <f>IF(AA1=1,VLOOKUP(V4,A3:G51,3,),IF(AA1=0,VLOOKUP(V4,A3:G51,7,),0))</f>
        <v>3.81</v>
      </c>
      <c r="AC4" s="149">
        <f>MONTH(AG2-1)</f>
        <v>8</v>
      </c>
      <c r="AD4" s="159">
        <f>AB4*AC4/$AC$3</f>
        <v>2.54</v>
      </c>
      <c r="AF4" s="132" t="str">
        <f>rekenen!B2</f>
        <v>Man</v>
      </c>
      <c r="AG4" s="109">
        <f>DAYS360(AG3,AG1)/360</f>
        <v>43.202777777777776</v>
      </c>
      <c r="AH4" s="118">
        <f>DAYS360(AG3,AH2)/360</f>
        <v>43.61944444444445</v>
      </c>
      <c r="AI4" s="230">
        <f>FLOOR(AH4,1)</f>
        <v>43</v>
      </c>
      <c r="AJ4" s="117"/>
      <c r="AK4" s="113"/>
      <c r="AL4" s="113"/>
    </row>
    <row r="5" spans="1:38" ht="15">
      <c r="A5" s="41">
        <v>20</v>
      </c>
      <c r="B5" s="184">
        <v>0.7135274485572265</v>
      </c>
      <c r="C5" s="184">
        <v>0.5651408999870219</v>
      </c>
      <c r="D5"/>
      <c r="E5" s="190">
        <v>20</v>
      </c>
      <c r="F5" s="191">
        <v>0.11</v>
      </c>
      <c r="G5" s="191">
        <v>0.12</v>
      </c>
      <c r="H5" s="194"/>
      <c r="I5" s="41">
        <v>20</v>
      </c>
      <c r="J5" s="145">
        <v>35.98</v>
      </c>
      <c r="K5" s="145">
        <v>36.8</v>
      </c>
      <c r="L5" s="44"/>
      <c r="M5" s="1">
        <v>63.79</v>
      </c>
      <c r="N5" s="1">
        <v>66.7</v>
      </c>
      <c r="O5" s="1"/>
      <c r="P5" s="44"/>
      <c r="Q5" s="1">
        <v>89.49</v>
      </c>
      <c r="R5" s="1">
        <v>95.06</v>
      </c>
      <c r="S5" s="44"/>
      <c r="V5" s="47">
        <f>INT(U4)</f>
        <v>43</v>
      </c>
      <c r="W5" s="92"/>
      <c r="X5" s="94">
        <f>IF(AA1=1,VLOOKUP(V4,A3:G51,2,),IF(AA1=0,VLOOKUP(V4,A3:G51,6,),0))</f>
        <v>4.17</v>
      </c>
      <c r="Y5" s="149">
        <f>AC5</f>
        <v>4</v>
      </c>
      <c r="Z5" s="119">
        <f>X5*Y5/$Y$3</f>
        <v>1.39</v>
      </c>
      <c r="AA5" s="103"/>
      <c r="AB5" s="98">
        <f>IF(AA1=1,VLOOKUP(V4,A3:G51,3,),IF(AA1=0,VLOOKUP(V4,A3:G51,7,),0))</f>
        <v>3.81</v>
      </c>
      <c r="AC5" s="149">
        <f>AC3-AC4</f>
        <v>4</v>
      </c>
      <c r="AD5" s="159">
        <f>AB5*AC5/$AC$3</f>
        <v>1.27</v>
      </c>
      <c r="AH5" s="110"/>
      <c r="AI5" s="117"/>
      <c r="AJ5" s="117"/>
      <c r="AK5" s="113"/>
      <c r="AL5" s="113"/>
    </row>
    <row r="6" spans="1:38" ht="15.75" thickBot="1">
      <c r="A6" s="41">
        <v>21</v>
      </c>
      <c r="B6" s="184">
        <v>0.7621044281029967</v>
      </c>
      <c r="C6" s="184">
        <v>0.6387843262183696</v>
      </c>
      <c r="D6"/>
      <c r="E6" s="190">
        <v>21</v>
      </c>
      <c r="F6" s="191">
        <v>0.17</v>
      </c>
      <c r="G6" s="191">
        <v>0.19</v>
      </c>
      <c r="H6" s="194"/>
      <c r="I6" s="41">
        <v>21</v>
      </c>
      <c r="J6" s="145">
        <v>35.7</v>
      </c>
      <c r="K6" s="145">
        <v>36.53</v>
      </c>
      <c r="L6" s="44"/>
      <c r="M6" s="1">
        <v>62.81</v>
      </c>
      <c r="N6" s="1">
        <v>65.72</v>
      </c>
      <c r="O6" s="1"/>
      <c r="P6" s="44"/>
      <c r="Q6" s="1">
        <v>87.66</v>
      </c>
      <c r="R6" s="1">
        <v>93.16</v>
      </c>
      <c r="S6" s="44"/>
      <c r="V6" s="41" t="s">
        <v>95</v>
      </c>
      <c r="X6" s="96"/>
      <c r="Y6" s="150">
        <f>SUM(Y4:Y5)</f>
        <v>12</v>
      </c>
      <c r="Z6" s="123">
        <f>SUM(Z4:Z5)</f>
        <v>4.17</v>
      </c>
      <c r="AA6" s="153"/>
      <c r="AB6" s="96"/>
      <c r="AC6" s="150">
        <f>SUM(AC4:AC5)</f>
        <v>12</v>
      </c>
      <c r="AD6" s="160">
        <f>SUM(AD4:AD5)</f>
        <v>3.81</v>
      </c>
      <c r="AE6" s="49"/>
      <c r="AH6" s="112"/>
      <c r="AI6" s="110"/>
      <c r="AJ6" s="113"/>
      <c r="AK6" s="113"/>
      <c r="AL6" s="113"/>
    </row>
    <row r="7" spans="1:38" ht="15.75" thickBot="1">
      <c r="A7" s="41">
        <v>22</v>
      </c>
      <c r="B7" s="184">
        <v>0.7707544923643637</v>
      </c>
      <c r="C7" s="184">
        <v>0.7064279332872843</v>
      </c>
      <c r="D7"/>
      <c r="E7" s="190">
        <v>22</v>
      </c>
      <c r="F7" s="191">
        <v>0.22</v>
      </c>
      <c r="G7" s="191">
        <v>0.26</v>
      </c>
      <c r="H7" s="194"/>
      <c r="I7" s="41">
        <v>22</v>
      </c>
      <c r="J7" s="145">
        <v>35.41</v>
      </c>
      <c r="K7" s="145">
        <v>36.25</v>
      </c>
      <c r="L7" s="44"/>
      <c r="M7" s="1">
        <v>61.83</v>
      </c>
      <c r="N7" s="1">
        <v>64.73</v>
      </c>
      <c r="O7" s="1"/>
      <c r="P7" s="44"/>
      <c r="Q7" s="1">
        <v>85.84</v>
      </c>
      <c r="R7" s="1">
        <v>91.28</v>
      </c>
      <c r="S7" s="44"/>
      <c r="AF7" s="158" t="s">
        <v>96</v>
      </c>
      <c r="AG7" s="82">
        <f>rekenen!J2</f>
        <v>25451</v>
      </c>
      <c r="AJ7" s="40"/>
      <c r="AK7" s="40"/>
      <c r="AL7" s="40"/>
    </row>
    <row r="8" spans="1:38" ht="15.75" thickBot="1">
      <c r="A8" s="41">
        <v>23</v>
      </c>
      <c r="B8" s="184">
        <v>0.8838575315632723</v>
      </c>
      <c r="C8" s="184">
        <v>0.6387843262183696</v>
      </c>
      <c r="D8"/>
      <c r="E8" s="190">
        <v>23</v>
      </c>
      <c r="F8" s="191">
        <v>0.27</v>
      </c>
      <c r="G8" s="191">
        <v>0.29</v>
      </c>
      <c r="H8" s="194"/>
      <c r="I8" s="41">
        <v>23</v>
      </c>
      <c r="J8" s="145">
        <v>35.12</v>
      </c>
      <c r="K8" s="145">
        <v>35.97</v>
      </c>
      <c r="L8" s="44"/>
      <c r="M8" s="1">
        <v>60.85</v>
      </c>
      <c r="N8" s="1">
        <v>63.75</v>
      </c>
      <c r="O8" s="1"/>
      <c r="P8" s="44"/>
      <c r="Q8" s="1">
        <v>84.04</v>
      </c>
      <c r="R8" s="1">
        <v>89.42</v>
      </c>
      <c r="S8" s="44"/>
      <c r="U8" s="100" t="s">
        <v>141</v>
      </c>
      <c r="X8" s="84" t="s">
        <v>93</v>
      </c>
      <c r="Y8" s="85"/>
      <c r="Z8" s="86"/>
      <c r="AA8" s="85"/>
      <c r="AB8" s="84" t="s">
        <v>98</v>
      </c>
      <c r="AC8" s="85"/>
      <c r="AD8" s="86"/>
      <c r="AF8" s="83">
        <f>rekenen!B3</f>
      </c>
      <c r="AG8" s="109">
        <f>DAYS360(AG7,AH1)/360</f>
        <v>50.32222222222222</v>
      </c>
      <c r="AH8" s="84" t="s">
        <v>178</v>
      </c>
      <c r="AI8" s="238">
        <f>AI4-3</f>
        <v>40</v>
      </c>
      <c r="AJ8" s="237">
        <f>IF(AF4="Man",AI8,AI9)</f>
        <v>40</v>
      </c>
      <c r="AK8" s="40"/>
      <c r="AL8" s="40"/>
    </row>
    <row r="9" spans="1:36" ht="15.75" thickBot="1">
      <c r="A9" s="41">
        <v>24</v>
      </c>
      <c r="B9" s="184">
        <v>0.9299743176867269</v>
      </c>
      <c r="C9" s="184">
        <v>0.6387843262183696</v>
      </c>
      <c r="D9"/>
      <c r="E9" s="190">
        <v>24</v>
      </c>
      <c r="F9" s="191">
        <v>0.34</v>
      </c>
      <c r="G9" s="191">
        <v>0.3</v>
      </c>
      <c r="H9" s="194"/>
      <c r="I9" s="41">
        <v>24</v>
      </c>
      <c r="J9" s="145">
        <v>34.82</v>
      </c>
      <c r="K9" s="145">
        <v>35.68</v>
      </c>
      <c r="L9" s="44"/>
      <c r="M9" s="1">
        <v>59.88</v>
      </c>
      <c r="N9" s="1">
        <v>62.77</v>
      </c>
      <c r="O9" s="1"/>
      <c r="P9" s="44"/>
      <c r="Q9" s="1">
        <v>82.27</v>
      </c>
      <c r="R9" s="1">
        <v>87.58</v>
      </c>
      <c r="S9" s="44"/>
      <c r="U9" s="40">
        <f>AJ8</f>
        <v>40</v>
      </c>
      <c r="V9" s="47">
        <f>INT(U9)</f>
        <v>40</v>
      </c>
      <c r="W9" s="92"/>
      <c r="X9" s="122">
        <f>IF(OR(Y1=0),VLOOKUP(V9,I3:S51,2,FALSE),(IF(OR(Y1=2),VLOOKUP(V9,I3:S51,5,FALSE),IF(OR(Y1=3),VLOOKUP(V9,I3:S51,9,FALSE),IF(Y1&gt;3,0)))))</f>
        <v>29.15</v>
      </c>
      <c r="Y9" s="149">
        <f>AC4</f>
        <v>8</v>
      </c>
      <c r="Z9" s="99">
        <f>X9*Y9/12</f>
        <v>19.433333333333334</v>
      </c>
      <c r="AB9" s="121">
        <f>IF(OR(Y1=0),VLOOKUP(V9,I3:S51,3,FALSE),(IF(OR(Y1=2),VLOOKUP(V9,I3:S51,6,FALSE),IF(OR(Y1=3),VLOOKUP(V9,I3:S51,10,FALSE),IF(Y1&gt;3,0)))))</f>
        <v>30.28</v>
      </c>
      <c r="AC9" s="149">
        <f>AC4</f>
        <v>8</v>
      </c>
      <c r="AD9" s="95">
        <f>AB9*AC9/12</f>
        <v>20.186666666666667</v>
      </c>
      <c r="AE9" s="40"/>
      <c r="AH9" s="83" t="s">
        <v>183</v>
      </c>
      <c r="AI9" s="235">
        <f>AI4+3</f>
        <v>46</v>
      </c>
      <c r="AJ9" s="236"/>
    </row>
    <row r="10" spans="1:31" ht="15">
      <c r="A10" s="41">
        <v>25</v>
      </c>
      <c r="B10" s="184">
        <v>0.9970239420348549</v>
      </c>
      <c r="C10" s="184">
        <v>0.7800717211982071</v>
      </c>
      <c r="D10"/>
      <c r="E10" s="190">
        <v>25</v>
      </c>
      <c r="F10" s="191">
        <v>0.42</v>
      </c>
      <c r="G10" s="191">
        <v>0.43</v>
      </c>
      <c r="H10" s="194"/>
      <c r="I10" s="41">
        <v>25</v>
      </c>
      <c r="J10" s="145">
        <v>34.51</v>
      </c>
      <c r="K10" s="145">
        <v>35.39</v>
      </c>
      <c r="L10" s="44"/>
      <c r="M10" s="1">
        <v>58.9</v>
      </c>
      <c r="N10" s="1">
        <v>61.78</v>
      </c>
      <c r="O10" s="1"/>
      <c r="P10" s="44"/>
      <c r="Q10" s="1">
        <v>80.51</v>
      </c>
      <c r="R10" s="1">
        <v>85.76</v>
      </c>
      <c r="S10" s="44"/>
      <c r="V10" s="47">
        <f>INT(U9)</f>
        <v>40</v>
      </c>
      <c r="W10" s="92"/>
      <c r="X10" s="122">
        <f>IF(OR(Y1=0),VLOOKUP(V10,I3:S51,2,FALSE),(IF(OR(Y1=2),VLOOKUP(V10,I3:S51,5,FALSE),IF(OR(Y1=3),VLOOKUP(V10,I3:S51,9,FALSE),IF(Y1&gt;3,0)))))</f>
        <v>29.15</v>
      </c>
      <c r="Y10" s="149">
        <f>AC5</f>
        <v>4</v>
      </c>
      <c r="Z10" s="99">
        <f>X10*Y10/12</f>
        <v>9.716666666666667</v>
      </c>
      <c r="AB10" s="121">
        <f>IF(OR(Y1=0),VLOOKUP(V10,I3:S51,3,FALSE),(IF(OR(Y1=2),VLOOKUP(V10,I3:S51,6,FALSE),IF(OR(Y1=3),VLOOKUP(V10,I3:S51,10,FALSE),IF(Y1&gt;3,0)))))</f>
        <v>30.28</v>
      </c>
      <c r="AC10" s="149">
        <f>AC5</f>
        <v>4</v>
      </c>
      <c r="AD10" s="95">
        <f>AB10*AC10/12</f>
        <v>10.093333333333334</v>
      </c>
      <c r="AE10" s="40"/>
    </row>
    <row r="11" spans="1:31" ht="15.75" thickBot="1">
      <c r="A11" s="41">
        <v>26</v>
      </c>
      <c r="B11" s="184">
        <v>1.063657135670847</v>
      </c>
      <c r="C11" s="184">
        <v>0.7800717211982071</v>
      </c>
      <c r="D11"/>
      <c r="E11" s="190">
        <v>26</v>
      </c>
      <c r="F11" s="191">
        <v>0.53</v>
      </c>
      <c r="G11" s="191">
        <v>0.47</v>
      </c>
      <c r="H11" s="194"/>
      <c r="I11" s="41">
        <v>26</v>
      </c>
      <c r="J11" s="145">
        <v>34.2</v>
      </c>
      <c r="K11" s="145">
        <v>35.09</v>
      </c>
      <c r="L11" s="44"/>
      <c r="M11" s="1">
        <v>57.92</v>
      </c>
      <c r="N11" s="1">
        <v>60.8</v>
      </c>
      <c r="O11" s="1"/>
      <c r="P11" s="44"/>
      <c r="Q11" s="1">
        <v>78.76</v>
      </c>
      <c r="R11" s="1">
        <v>83.95</v>
      </c>
      <c r="S11" s="44"/>
      <c r="X11" s="96"/>
      <c r="Y11" s="101"/>
      <c r="Z11" s="127">
        <f>SUM(Z9:Z10)</f>
        <v>29.15</v>
      </c>
      <c r="AA11" s="154"/>
      <c r="AB11" s="96"/>
      <c r="AC11" s="101"/>
      <c r="AD11" s="97">
        <f>SUM(AD9:AD10)</f>
        <v>30.28</v>
      </c>
      <c r="AE11" s="49"/>
    </row>
    <row r="12" spans="1:19" ht="15.75" thickBot="1">
      <c r="A12" s="41">
        <v>27</v>
      </c>
      <c r="B12" s="184">
        <v>1.0793204740803073</v>
      </c>
      <c r="C12" s="184">
        <v>0.9213598395505177</v>
      </c>
      <c r="D12"/>
      <c r="E12" s="190">
        <v>27</v>
      </c>
      <c r="F12" s="191">
        <v>0.63</v>
      </c>
      <c r="G12" s="191">
        <v>0.6</v>
      </c>
      <c r="H12" s="194"/>
      <c r="I12" s="232">
        <v>27</v>
      </c>
      <c r="J12" s="145">
        <v>33.88</v>
      </c>
      <c r="K12" s="231">
        <v>34.79</v>
      </c>
      <c r="L12" s="44"/>
      <c r="M12" s="1">
        <v>56.95</v>
      </c>
      <c r="N12" s="1">
        <v>59.81</v>
      </c>
      <c r="O12" s="1"/>
      <c r="P12" s="44"/>
      <c r="Q12" s="1">
        <v>77.03</v>
      </c>
      <c r="R12" s="1">
        <v>82.17</v>
      </c>
      <c r="S12" s="44"/>
    </row>
    <row r="13" spans="1:34" ht="15">
      <c r="A13" s="41">
        <v>28</v>
      </c>
      <c r="B13" s="184">
        <v>1.221340790547152</v>
      </c>
      <c r="C13" s="184">
        <v>0.9213598395505177</v>
      </c>
      <c r="D13"/>
      <c r="E13" s="190">
        <v>28</v>
      </c>
      <c r="F13" s="191">
        <v>0.81</v>
      </c>
      <c r="G13" s="191">
        <v>0.63</v>
      </c>
      <c r="H13" s="194"/>
      <c r="I13" s="41">
        <v>28</v>
      </c>
      <c r="J13" s="145">
        <v>33.56</v>
      </c>
      <c r="K13" s="145">
        <v>34.48</v>
      </c>
      <c r="L13" s="44"/>
      <c r="M13" s="1">
        <v>55.97</v>
      </c>
      <c r="N13" s="1">
        <v>58.83</v>
      </c>
      <c r="O13" s="1"/>
      <c r="P13" s="44"/>
      <c r="Q13" s="1">
        <v>75.32</v>
      </c>
      <c r="R13" s="1">
        <v>80.4</v>
      </c>
      <c r="S13" s="44"/>
      <c r="U13" s="164" t="s">
        <v>99</v>
      </c>
      <c r="V13" s="165"/>
      <c r="W13" s="165"/>
      <c r="X13" s="166">
        <f>rekenen!C31*1+8359.2*0</f>
        <v>6890.472151999999</v>
      </c>
      <c r="Y13" s="161"/>
      <c r="Z13" s="120"/>
      <c r="AA13" s="155"/>
      <c r="AC13" s="40" t="s">
        <v>179</v>
      </c>
      <c r="AD13" s="51">
        <f>(X13*Y16)+X15</f>
        <v>7501.70992416</v>
      </c>
      <c r="AG13" s="45"/>
      <c r="AH13" s="45"/>
    </row>
    <row r="14" spans="1:33" ht="16.5">
      <c r="A14" s="41">
        <v>29</v>
      </c>
      <c r="B14" s="200">
        <v>1.2995315258979239</v>
      </c>
      <c r="C14" s="184">
        <v>1.0626486813019467</v>
      </c>
      <c r="D14"/>
      <c r="E14" s="190">
        <v>29</v>
      </c>
      <c r="F14" s="201">
        <v>0.88</v>
      </c>
      <c r="G14" s="191">
        <v>0.78</v>
      </c>
      <c r="H14" s="194"/>
      <c r="I14" s="41">
        <v>29</v>
      </c>
      <c r="J14" s="227">
        <v>33.23</v>
      </c>
      <c r="K14" s="227">
        <v>34.16</v>
      </c>
      <c r="L14" s="228"/>
      <c r="M14" s="229">
        <v>54.99</v>
      </c>
      <c r="N14" s="229">
        <v>57.85</v>
      </c>
      <c r="O14" s="229"/>
      <c r="P14" s="228"/>
      <c r="Q14" s="229">
        <v>73.63</v>
      </c>
      <c r="R14" s="1">
        <v>78.65</v>
      </c>
      <c r="S14" s="44"/>
      <c r="U14" s="167" t="s">
        <v>100</v>
      </c>
      <c r="V14" s="110"/>
      <c r="W14" s="110"/>
      <c r="X14" s="168">
        <v>230</v>
      </c>
      <c r="AD14" s="40">
        <v>230</v>
      </c>
      <c r="AG14" s="148"/>
    </row>
    <row r="15" spans="1:33" ht="15">
      <c r="A15" s="41">
        <v>30</v>
      </c>
      <c r="B15" s="184">
        <v>1.395415652935685</v>
      </c>
      <c r="C15" s="184">
        <v>1.1362933734584368</v>
      </c>
      <c r="D15"/>
      <c r="E15" s="190">
        <v>30</v>
      </c>
      <c r="F15" s="226">
        <v>0.95</v>
      </c>
      <c r="G15" s="191">
        <v>0.84</v>
      </c>
      <c r="H15" s="194"/>
      <c r="I15" s="41">
        <v>30</v>
      </c>
      <c r="J15" s="145">
        <v>32.89</v>
      </c>
      <c r="K15" s="145">
        <v>33.84</v>
      </c>
      <c r="L15" s="44"/>
      <c r="M15" s="1">
        <v>54.01</v>
      </c>
      <c r="N15" s="1">
        <v>56.87</v>
      </c>
      <c r="O15" s="1"/>
      <c r="P15" s="44"/>
      <c r="Q15" s="1">
        <v>71.95</v>
      </c>
      <c r="R15" s="1">
        <v>76.91</v>
      </c>
      <c r="S15" s="44"/>
      <c r="U15" s="167" t="s">
        <v>101</v>
      </c>
      <c r="V15" s="110"/>
      <c r="W15" s="110"/>
      <c r="X15" s="168">
        <v>60</v>
      </c>
      <c r="AD15" s="51">
        <f>SUM(AD13:AD14)</f>
        <v>7731.70992416</v>
      </c>
      <c r="AG15" s="45"/>
    </row>
    <row r="16" spans="1:33" ht="15.75" thickBot="1">
      <c r="A16" s="41">
        <v>31</v>
      </c>
      <c r="B16" s="184">
        <v>1.5539686839297524</v>
      </c>
      <c r="C16" s="184">
        <v>1.2775833003418502</v>
      </c>
      <c r="D16"/>
      <c r="E16" s="190">
        <v>31</v>
      </c>
      <c r="F16" s="191">
        <v>1.07</v>
      </c>
      <c r="G16" s="191">
        <v>0.95</v>
      </c>
      <c r="H16" s="194"/>
      <c r="I16" s="41">
        <v>31</v>
      </c>
      <c r="J16" s="145">
        <v>32.55</v>
      </c>
      <c r="K16" s="145">
        <v>33.51</v>
      </c>
      <c r="L16" s="44"/>
      <c r="M16" s="1">
        <v>53.04</v>
      </c>
      <c r="N16" s="1">
        <v>55.89</v>
      </c>
      <c r="O16" s="1"/>
      <c r="P16" s="44"/>
      <c r="Q16" s="1">
        <v>70.29</v>
      </c>
      <c r="R16" s="1">
        <v>75.2</v>
      </c>
      <c r="S16" s="44"/>
      <c r="U16" s="169" t="s">
        <v>154</v>
      </c>
      <c r="V16" s="110"/>
      <c r="W16" s="110"/>
      <c r="X16" s="172">
        <v>0.08</v>
      </c>
      <c r="Y16" s="50">
        <v>1.08</v>
      </c>
      <c r="Z16" s="50"/>
      <c r="AA16" s="50"/>
      <c r="AG16" s="45"/>
    </row>
    <row r="17" spans="1:31" ht="15.75" thickBot="1">
      <c r="A17" s="41">
        <v>32</v>
      </c>
      <c r="B17" s="184">
        <v>1.7154792495384639</v>
      </c>
      <c r="C17" s="184">
        <v>1.2775833003418502</v>
      </c>
      <c r="D17"/>
      <c r="E17" s="190">
        <v>32</v>
      </c>
      <c r="F17" s="191">
        <v>1.2</v>
      </c>
      <c r="G17" s="191">
        <v>0.97</v>
      </c>
      <c r="H17" s="194"/>
      <c r="I17" s="41">
        <v>32</v>
      </c>
      <c r="J17" s="145">
        <v>32.2</v>
      </c>
      <c r="K17" s="145">
        <v>33.18</v>
      </c>
      <c r="L17" s="44"/>
      <c r="M17" s="1">
        <v>52.06</v>
      </c>
      <c r="N17" s="1">
        <v>54.91</v>
      </c>
      <c r="O17" s="1"/>
      <c r="P17" s="44"/>
      <c r="Q17" s="1">
        <v>68.64</v>
      </c>
      <c r="R17" s="1">
        <v>73.5</v>
      </c>
      <c r="S17" s="44"/>
      <c r="U17" s="41" t="s">
        <v>155</v>
      </c>
      <c r="V17" s="170"/>
      <c r="W17" s="170"/>
      <c r="X17" s="171">
        <v>0.0025</v>
      </c>
      <c r="Y17" s="85"/>
      <c r="Z17" s="85"/>
      <c r="AA17" s="85"/>
      <c r="AB17" s="86"/>
      <c r="AD17" s="41" t="s">
        <v>180</v>
      </c>
      <c r="AE17" s="41" t="s">
        <v>181</v>
      </c>
    </row>
    <row r="18" spans="1:36" ht="15.75" thickBot="1">
      <c r="A18" s="41">
        <v>33</v>
      </c>
      <c r="B18" s="184">
        <v>1.8438352736765673</v>
      </c>
      <c r="C18" s="184">
        <v>1.5601653244747857</v>
      </c>
      <c r="D18"/>
      <c r="E18" s="190">
        <v>33</v>
      </c>
      <c r="F18" s="191">
        <v>1.3</v>
      </c>
      <c r="G18" s="191">
        <v>1.22</v>
      </c>
      <c r="H18" s="194"/>
      <c r="I18" s="41">
        <v>33</v>
      </c>
      <c r="J18" s="145">
        <v>31.84</v>
      </c>
      <c r="K18" s="145">
        <v>32.84</v>
      </c>
      <c r="L18" s="44"/>
      <c r="M18" s="1">
        <v>51.08</v>
      </c>
      <c r="N18" s="1">
        <v>53.93</v>
      </c>
      <c r="O18" s="1"/>
      <c r="P18" s="44"/>
      <c r="Q18" s="1">
        <v>67.01</v>
      </c>
      <c r="R18" s="1">
        <v>71.82</v>
      </c>
      <c r="S18" s="44"/>
      <c r="U18" s="162" t="s">
        <v>143</v>
      </c>
      <c r="V18" s="163"/>
      <c r="W18" s="163" t="s">
        <v>86</v>
      </c>
      <c r="X18" s="88">
        <f>Z11*AD13</f>
        <v>218674.84428926397</v>
      </c>
      <c r="Y18" s="88"/>
      <c r="Z18" s="88" t="s">
        <v>89</v>
      </c>
      <c r="AA18" s="88"/>
      <c r="AB18" s="87">
        <f>(X13*AD11*(1+X16)+AD11*X15+X14)*(1+X17)</f>
        <v>227950.23094482368</v>
      </c>
      <c r="AC18" s="89"/>
      <c r="AD18" s="233">
        <f>Z11*AD13</f>
        <v>218674.84428926397</v>
      </c>
      <c r="AE18" s="234">
        <f>AD11*AD13</f>
        <v>227151.77650356482</v>
      </c>
      <c r="AF18" s="51"/>
      <c r="AG18" s="48"/>
      <c r="AH18" s="40"/>
      <c r="AI18" s="40"/>
      <c r="AJ18" s="40"/>
    </row>
    <row r="19" spans="1:33" ht="15.75" thickBot="1">
      <c r="A19" s="41">
        <v>34</v>
      </c>
      <c r="B19" s="184">
        <v>2.009870031129597</v>
      </c>
      <c r="C19" s="184">
        <v>1.7691037417342057</v>
      </c>
      <c r="D19"/>
      <c r="E19" s="190">
        <v>34</v>
      </c>
      <c r="F19" s="191">
        <v>1.45</v>
      </c>
      <c r="G19" s="191">
        <v>1.38</v>
      </c>
      <c r="H19" s="194"/>
      <c r="I19" s="41">
        <v>34</v>
      </c>
      <c r="J19" s="145">
        <v>31.48</v>
      </c>
      <c r="K19" s="145">
        <v>32.49</v>
      </c>
      <c r="L19" s="44"/>
      <c r="M19" s="1">
        <v>50.11</v>
      </c>
      <c r="N19" s="1">
        <v>52.95</v>
      </c>
      <c r="O19" s="1"/>
      <c r="P19" s="44"/>
      <c r="Q19" s="1">
        <v>65.4</v>
      </c>
      <c r="R19" s="1">
        <v>70.16</v>
      </c>
      <c r="S19" s="44"/>
      <c r="AF19" s="51"/>
      <c r="AG19" s="51"/>
    </row>
    <row r="20" spans="1:31" ht="15">
      <c r="A20" s="41">
        <v>35</v>
      </c>
      <c r="B20" s="184">
        <v>2.2601354859413725</v>
      </c>
      <c r="C20" s="184">
        <v>1.9103969243022298</v>
      </c>
      <c r="D20"/>
      <c r="E20" s="190">
        <v>35</v>
      </c>
      <c r="F20" s="191">
        <v>1.65</v>
      </c>
      <c r="G20" s="191">
        <v>1.51</v>
      </c>
      <c r="H20" s="194"/>
      <c r="I20" s="41">
        <v>35</v>
      </c>
      <c r="J20" s="145">
        <v>31.11</v>
      </c>
      <c r="K20" s="145">
        <v>32.14</v>
      </c>
      <c r="L20" s="44"/>
      <c r="M20" s="1">
        <v>49.13</v>
      </c>
      <c r="N20" s="1">
        <v>51.97</v>
      </c>
      <c r="O20" s="1"/>
      <c r="P20" s="44"/>
      <c r="Q20" s="1">
        <v>63.8</v>
      </c>
      <c r="R20" s="1">
        <v>68.51</v>
      </c>
      <c r="S20" s="44"/>
      <c r="U20" s="84"/>
      <c r="V20" s="85"/>
      <c r="W20" s="85"/>
      <c r="X20" s="130" t="s">
        <v>144</v>
      </c>
      <c r="Y20" s="130"/>
      <c r="Z20" s="130"/>
      <c r="AA20" s="130"/>
      <c r="AB20" s="131" t="s">
        <v>145</v>
      </c>
      <c r="AC20" s="48"/>
      <c r="AD20" s="48"/>
      <c r="AE20" s="48"/>
    </row>
    <row r="21" spans="1:28" ht="15">
      <c r="A21" s="41">
        <v>36</v>
      </c>
      <c r="B21" s="184">
        <v>2.5024127302058377</v>
      </c>
      <c r="C21" s="184">
        <v>2.1989854601063676</v>
      </c>
      <c r="D21"/>
      <c r="E21" s="190">
        <v>36</v>
      </c>
      <c r="F21" s="191">
        <v>1.86</v>
      </c>
      <c r="G21" s="191">
        <v>1.74</v>
      </c>
      <c r="H21" s="194"/>
      <c r="I21" s="41">
        <v>36</v>
      </c>
      <c r="J21" s="145">
        <v>30.73</v>
      </c>
      <c r="K21" s="145">
        <v>31.78</v>
      </c>
      <c r="L21" s="44"/>
      <c r="M21" s="1">
        <v>48.16</v>
      </c>
      <c r="N21" s="1">
        <v>50.99</v>
      </c>
      <c r="O21" s="1"/>
      <c r="P21" s="44"/>
      <c r="Q21" s="1">
        <v>62.22</v>
      </c>
      <c r="R21" s="1">
        <v>66.88</v>
      </c>
      <c r="S21" s="44"/>
      <c r="U21" s="98" t="s">
        <v>156</v>
      </c>
      <c r="W21" s="106" t="s">
        <v>146</v>
      </c>
      <c r="X21" s="105">
        <f>Z6*AE18/100000</f>
        <v>9.472229080198654</v>
      </c>
      <c r="Y21" s="105"/>
      <c r="Z21" s="105"/>
      <c r="AA21" s="156"/>
      <c r="AB21" s="173">
        <f>Z6*AD18/100000</f>
        <v>9.118741006862306</v>
      </c>
    </row>
    <row r="22" spans="1:28" ht="15.75" thickBot="1">
      <c r="A22" s="41">
        <v>37</v>
      </c>
      <c r="B22" s="184">
        <v>2.719362071471287</v>
      </c>
      <c r="C22" s="184">
        <v>2.407928761365659</v>
      </c>
      <c r="D22"/>
      <c r="E22" s="190">
        <v>37</v>
      </c>
      <c r="F22" s="191">
        <v>2.05</v>
      </c>
      <c r="G22" s="191">
        <v>1.9</v>
      </c>
      <c r="H22" s="194"/>
      <c r="I22" s="41">
        <v>37</v>
      </c>
      <c r="J22" s="145">
        <v>30.35</v>
      </c>
      <c r="K22" s="145">
        <v>31.42</v>
      </c>
      <c r="L22" s="44"/>
      <c r="M22" s="1">
        <v>47.19</v>
      </c>
      <c r="N22" s="1">
        <v>50.01</v>
      </c>
      <c r="O22" s="1"/>
      <c r="P22" s="44"/>
      <c r="Q22" s="1">
        <v>60.66</v>
      </c>
      <c r="R22" s="1">
        <v>65.27</v>
      </c>
      <c r="S22" s="44"/>
      <c r="U22" s="83"/>
      <c r="V22" s="132"/>
      <c r="W22" s="133" t="s">
        <v>147</v>
      </c>
      <c r="X22" s="134">
        <f>AD18*AD6/100000</f>
        <v>8.331511567420957</v>
      </c>
      <c r="Y22" s="134"/>
      <c r="Z22" s="134"/>
      <c r="AA22" s="157"/>
      <c r="AB22" s="135">
        <f>AD6*AB18/100000</f>
        <v>8.684903798997782</v>
      </c>
    </row>
    <row r="23" spans="1:33" ht="15.75" thickBot="1">
      <c r="A23" s="41">
        <v>38</v>
      </c>
      <c r="B23" s="184">
        <v>3.0132565557080957</v>
      </c>
      <c r="C23" s="184">
        <v>2.764171214933232</v>
      </c>
      <c r="D23"/>
      <c r="E23" s="190">
        <v>38</v>
      </c>
      <c r="F23" s="191">
        <v>2.3</v>
      </c>
      <c r="G23" s="191">
        <v>2.21</v>
      </c>
      <c r="H23" s="194"/>
      <c r="I23" s="41">
        <v>38</v>
      </c>
      <c r="J23" s="199">
        <v>29.95</v>
      </c>
      <c r="K23" s="145">
        <v>31.05</v>
      </c>
      <c r="L23" s="44"/>
      <c r="M23" s="1">
        <v>46.21</v>
      </c>
      <c r="N23" s="1">
        <v>49.04</v>
      </c>
      <c r="O23" s="1"/>
      <c r="P23" s="44"/>
      <c r="Q23" s="1">
        <v>59.11</v>
      </c>
      <c r="R23" s="1">
        <v>63.67</v>
      </c>
      <c r="S23" s="44"/>
      <c r="U23" s="46"/>
      <c r="W23" s="41" t="s">
        <v>150</v>
      </c>
      <c r="X23" s="128" t="s">
        <v>157</v>
      </c>
      <c r="Y23" s="128">
        <v>12</v>
      </c>
      <c r="Z23" s="128"/>
      <c r="AA23" s="128"/>
      <c r="AB23" s="129" t="s">
        <v>120</v>
      </c>
      <c r="AC23" s="90"/>
      <c r="AD23" s="90"/>
      <c r="AE23" s="90"/>
      <c r="AF23" s="76" t="s">
        <v>128</v>
      </c>
      <c r="AG23" s="77" t="s">
        <v>136</v>
      </c>
    </row>
    <row r="24" spans="1:35" ht="15.75" thickBot="1">
      <c r="A24" s="41">
        <v>39</v>
      </c>
      <c r="B24" s="184">
        <v>3.4185506977434374</v>
      </c>
      <c r="C24" s="184">
        <v>2.9731188580704915</v>
      </c>
      <c r="D24"/>
      <c r="E24" s="190">
        <v>39</v>
      </c>
      <c r="F24" s="191">
        <v>2.61</v>
      </c>
      <c r="G24" s="191">
        <v>2.38</v>
      </c>
      <c r="H24" s="194"/>
      <c r="I24" s="41">
        <v>39</v>
      </c>
      <c r="J24" s="145">
        <v>29.56</v>
      </c>
      <c r="K24" s="145">
        <v>30.67</v>
      </c>
      <c r="L24" s="44"/>
      <c r="M24" s="1">
        <v>45.24</v>
      </c>
      <c r="N24" s="1">
        <v>48.06</v>
      </c>
      <c r="O24" s="1"/>
      <c r="P24" s="44"/>
      <c r="Q24" s="1">
        <v>57.58</v>
      </c>
      <c r="R24" s="1">
        <v>62.09</v>
      </c>
      <c r="S24" s="44"/>
      <c r="U24" s="52" t="s">
        <v>149</v>
      </c>
      <c r="V24" s="41">
        <v>0</v>
      </c>
      <c r="W24" s="137">
        <f>IF(AF8="Man",X18,AD18)</f>
        <v>218674.84428926397</v>
      </c>
      <c r="X24" s="139">
        <f>IF(AF4="Vrouw",X22,X21)</f>
        <v>9.472229080198654</v>
      </c>
      <c r="Y24" s="146">
        <f>X24*Y23</f>
        <v>113.66674896238385</v>
      </c>
      <c r="Z24" s="107"/>
      <c r="AA24" s="107"/>
      <c r="AB24" s="75">
        <f>Blad1!W8</f>
        <v>0</v>
      </c>
      <c r="AC24" s="91"/>
      <c r="AD24" s="91"/>
      <c r="AE24" s="91"/>
      <c r="AF24" s="78">
        <f>rekenen!H50</f>
        <v>0</v>
      </c>
      <c r="AG24" s="79">
        <f>AB24*AF24</f>
        <v>0</v>
      </c>
      <c r="AI24" s="46"/>
    </row>
    <row r="25" spans="1:35" ht="15">
      <c r="A25" s="41">
        <v>40</v>
      </c>
      <c r="B25" s="184">
        <v>3.774852832576323</v>
      </c>
      <c r="C25" s="184">
        <v>3.4706696912719166</v>
      </c>
      <c r="D25"/>
      <c r="E25" s="190">
        <v>40</v>
      </c>
      <c r="F25" s="191">
        <v>2.91</v>
      </c>
      <c r="G25" s="191">
        <v>2.78</v>
      </c>
      <c r="H25" s="194"/>
      <c r="I25" s="41">
        <v>40</v>
      </c>
      <c r="J25" s="145">
        <v>29.15</v>
      </c>
      <c r="K25" s="145">
        <v>30.28</v>
      </c>
      <c r="L25" s="44"/>
      <c r="M25" s="1">
        <v>44.27</v>
      </c>
      <c r="N25" s="1">
        <v>47.09</v>
      </c>
      <c r="O25" s="1"/>
      <c r="P25" s="44"/>
      <c r="Q25" s="1">
        <v>56.07</v>
      </c>
      <c r="R25" s="1">
        <v>60.53</v>
      </c>
      <c r="S25" s="44"/>
      <c r="U25" s="46"/>
      <c r="V25" s="41" t="s">
        <v>121</v>
      </c>
      <c r="W25" s="41" t="s">
        <v>153</v>
      </c>
      <c r="X25" s="81"/>
      <c r="Y25" s="81"/>
      <c r="Z25" s="81"/>
      <c r="AA25" s="81"/>
      <c r="AB25" s="244">
        <f>input_correctiepercentage+Allianz!Z27*Allianz!AB24/100</f>
        <v>3.55</v>
      </c>
      <c r="AI25" s="46"/>
    </row>
    <row r="26" spans="1:28" ht="15">
      <c r="A26" s="41">
        <v>41</v>
      </c>
      <c r="B26" s="184">
        <v>4.212248525415218</v>
      </c>
      <c r="C26" s="184">
        <v>3.9682293907810298</v>
      </c>
      <c r="D26"/>
      <c r="E26" s="190">
        <v>41</v>
      </c>
      <c r="F26" s="191">
        <v>3.25</v>
      </c>
      <c r="G26" s="191">
        <v>3.14</v>
      </c>
      <c r="H26" s="194"/>
      <c r="I26" s="41">
        <v>41</v>
      </c>
      <c r="J26" s="145">
        <v>28.74</v>
      </c>
      <c r="K26" s="145">
        <v>29.89</v>
      </c>
      <c r="L26" s="44"/>
      <c r="M26" s="1">
        <v>43.3</v>
      </c>
      <c r="N26" s="1">
        <v>46.12</v>
      </c>
      <c r="O26" s="1"/>
      <c r="P26" s="44"/>
      <c r="Q26" s="1">
        <v>54.57</v>
      </c>
      <c r="R26" s="1">
        <v>58.99</v>
      </c>
      <c r="S26" s="44"/>
      <c r="U26" s="124" t="s">
        <v>151</v>
      </c>
      <c r="V26" s="125">
        <f>input_np_premie_perc_wg</f>
        <v>100</v>
      </c>
      <c r="W26" s="125">
        <f>input_wzp_premie_perc_wg</f>
        <v>100</v>
      </c>
      <c r="X26" s="138">
        <f>(V26*X24)*12/100</f>
        <v>113.66674896238385</v>
      </c>
      <c r="Y26" s="138">
        <f>X26</f>
        <v>113.66674896238385</v>
      </c>
      <c r="Z26" s="138">
        <f>Y26*input_kortingspercentage_np/100</f>
        <v>0</v>
      </c>
      <c r="AA26" s="245">
        <f>Y26-Z26</f>
        <v>113.66674896238385</v>
      </c>
      <c r="AB26" s="110">
        <f>W26*AB24/100</f>
        <v>0</v>
      </c>
    </row>
    <row r="27" spans="1:28" ht="15">
      <c r="A27" s="41">
        <v>42</v>
      </c>
      <c r="B27" s="184">
        <v>4.775669898001771</v>
      </c>
      <c r="C27" s="184">
        <v>4.4657979575037725</v>
      </c>
      <c r="D27"/>
      <c r="E27" s="190">
        <v>42</v>
      </c>
      <c r="F27" s="191">
        <v>3.69</v>
      </c>
      <c r="G27" s="191">
        <v>3.53</v>
      </c>
      <c r="H27" s="194"/>
      <c r="I27" s="41">
        <v>42</v>
      </c>
      <c r="J27" s="145">
        <v>28.32</v>
      </c>
      <c r="K27" s="145">
        <v>29.49</v>
      </c>
      <c r="L27" s="44"/>
      <c r="M27" s="1">
        <v>42.34</v>
      </c>
      <c r="N27" s="1">
        <v>45.15</v>
      </c>
      <c r="O27" s="1"/>
      <c r="P27" s="44"/>
      <c r="Q27" s="1">
        <v>53.09</v>
      </c>
      <c r="R27" s="1">
        <v>57.46</v>
      </c>
      <c r="S27" s="44"/>
      <c r="U27" s="124" t="s">
        <v>152</v>
      </c>
      <c r="V27" s="125">
        <f>input_np_premie_perc_wn</f>
        <v>0</v>
      </c>
      <c r="W27" s="125">
        <f>input_wzp_premie_perc_wn</f>
        <v>0</v>
      </c>
      <c r="X27" s="138">
        <f>(V27*X24)*12/100</f>
        <v>0</v>
      </c>
      <c r="Y27" s="126"/>
      <c r="Z27" s="215">
        <v>100</v>
      </c>
      <c r="AA27" s="126">
        <f>(Z29*Allianz!AA26)</f>
        <v>109.63157937421923</v>
      </c>
      <c r="AB27" s="110">
        <f>W27*AB24/100</f>
        <v>0</v>
      </c>
    </row>
    <row r="28" spans="1:35" ht="15">
      <c r="A28" s="41">
        <v>43</v>
      </c>
      <c r="B28" s="184">
        <v>5.331318087530163</v>
      </c>
      <c r="C28" s="184">
        <v>4.816066648869946</v>
      </c>
      <c r="D28"/>
      <c r="E28" s="190">
        <v>43</v>
      </c>
      <c r="F28" s="191">
        <v>4.17</v>
      </c>
      <c r="G28" s="191">
        <v>3.81</v>
      </c>
      <c r="H28" s="194"/>
      <c r="I28" s="41">
        <v>43</v>
      </c>
      <c r="J28" s="145">
        <v>27.89</v>
      </c>
      <c r="K28" s="145">
        <v>29.09</v>
      </c>
      <c r="L28" s="44"/>
      <c r="M28" s="1">
        <v>41.37</v>
      </c>
      <c r="N28" s="1">
        <v>44.18</v>
      </c>
      <c r="O28" s="1"/>
      <c r="P28" s="44"/>
      <c r="Q28" s="1">
        <v>51.62</v>
      </c>
      <c r="R28" s="1">
        <v>55.95</v>
      </c>
      <c r="S28" s="44"/>
      <c r="U28" s="52"/>
      <c r="X28" s="53"/>
      <c r="Y28" s="53" t="s">
        <v>177</v>
      </c>
      <c r="Z28" s="223">
        <f>(input_correctiepercentage)*-1</f>
        <v>-3.55</v>
      </c>
      <c r="AA28" s="53"/>
      <c r="AE28" s="40"/>
      <c r="AF28" s="40"/>
      <c r="AG28" s="40"/>
      <c r="AH28" s="40"/>
      <c r="AI28" s="40"/>
    </row>
    <row r="29" spans="1:35" ht="15">
      <c r="A29" s="41">
        <v>44</v>
      </c>
      <c r="B29" s="184">
        <v>5.953059759849642</v>
      </c>
      <c r="C29" s="184">
        <v>5.737586423747668</v>
      </c>
      <c r="D29"/>
      <c r="E29" s="190">
        <v>44</v>
      </c>
      <c r="F29" s="191">
        <v>4.65</v>
      </c>
      <c r="G29" s="191">
        <v>4.54</v>
      </c>
      <c r="H29" s="194"/>
      <c r="I29" s="41">
        <v>44</v>
      </c>
      <c r="J29" s="145">
        <v>27.46</v>
      </c>
      <c r="K29" s="145">
        <v>28.68</v>
      </c>
      <c r="L29" s="44"/>
      <c r="M29" s="1">
        <v>40.41</v>
      </c>
      <c r="N29" s="1">
        <v>43.22</v>
      </c>
      <c r="O29" s="1"/>
      <c r="P29" s="44"/>
      <c r="Q29" s="1">
        <v>50.18</v>
      </c>
      <c r="R29" s="1">
        <v>54.46</v>
      </c>
      <c r="S29" s="44"/>
      <c r="W29" s="203"/>
      <c r="X29" s="203"/>
      <c r="Y29" s="41">
        <v>100</v>
      </c>
      <c r="Z29" s="40">
        <f>(Y29+Z28)/100</f>
        <v>0.9645</v>
      </c>
      <c r="AE29" s="40"/>
      <c r="AF29" s="40"/>
      <c r="AG29" s="40"/>
      <c r="AH29" s="40"/>
      <c r="AI29" s="40"/>
    </row>
    <row r="30" spans="1:35" ht="15.75" thickBot="1">
      <c r="A30" s="41">
        <v>45</v>
      </c>
      <c r="B30" s="184">
        <v>6.537055443368571</v>
      </c>
      <c r="C30" s="184">
        <v>6.376502651091616</v>
      </c>
      <c r="D30"/>
      <c r="E30" s="190">
        <v>45</v>
      </c>
      <c r="F30" s="191">
        <v>5.11</v>
      </c>
      <c r="G30" s="191">
        <v>5.04</v>
      </c>
      <c r="H30" s="194"/>
      <c r="I30" s="41">
        <v>45</v>
      </c>
      <c r="J30" s="145">
        <v>27.02</v>
      </c>
      <c r="K30" s="145">
        <v>28.26</v>
      </c>
      <c r="L30" s="44"/>
      <c r="M30" s="1">
        <v>39.45</v>
      </c>
      <c r="N30" s="1">
        <v>42.26</v>
      </c>
      <c r="O30" s="1"/>
      <c r="P30" s="44"/>
      <c r="Q30" s="1">
        <v>48.74</v>
      </c>
      <c r="R30" s="1">
        <v>52.98</v>
      </c>
      <c r="S30" s="44"/>
      <c r="W30" s="203"/>
      <c r="X30" s="204"/>
      <c r="Y30" s="104"/>
      <c r="Z30" s="51"/>
      <c r="AA30" s="51"/>
      <c r="AC30" s="41">
        <v>2.2</v>
      </c>
      <c r="AD30" s="41">
        <v>12</v>
      </c>
      <c r="AE30" s="40">
        <f>AC30*AD30</f>
        <v>26.400000000000002</v>
      </c>
      <c r="AF30" s="40"/>
      <c r="AG30" s="40"/>
      <c r="AH30" s="40"/>
      <c r="AI30" s="40"/>
    </row>
    <row r="31" spans="1:35" ht="15">
      <c r="A31" s="41">
        <v>46</v>
      </c>
      <c r="B31" s="184">
        <v>7.287236603133531</v>
      </c>
      <c r="C31" s="184">
        <v>7.439395620765316</v>
      </c>
      <c r="D31"/>
      <c r="E31" s="190">
        <v>46</v>
      </c>
      <c r="F31" s="191">
        <v>5.69</v>
      </c>
      <c r="G31" s="191">
        <v>5.81</v>
      </c>
      <c r="H31" s="194"/>
      <c r="I31" s="41">
        <v>46</v>
      </c>
      <c r="J31" s="145">
        <v>26.57</v>
      </c>
      <c r="K31" s="145">
        <v>27.84</v>
      </c>
      <c r="L31" s="44"/>
      <c r="M31" s="1">
        <v>38.49</v>
      </c>
      <c r="N31" s="1">
        <v>41.3</v>
      </c>
      <c r="O31" s="1"/>
      <c r="P31" s="44"/>
      <c r="Q31" s="1">
        <v>47.32</v>
      </c>
      <c r="R31" s="1">
        <v>51.53</v>
      </c>
      <c r="S31" s="44"/>
      <c r="U31" s="239" t="s">
        <v>184</v>
      </c>
      <c r="V31" s="85"/>
      <c r="W31" s="240" t="s">
        <v>153</v>
      </c>
      <c r="X31" s="85" t="s">
        <v>149</v>
      </c>
      <c r="Y31" s="86" t="s">
        <v>187</v>
      </c>
      <c r="AB31" s="51"/>
      <c r="AE31" s="40"/>
      <c r="AF31" s="40"/>
      <c r="AG31" s="40"/>
      <c r="AH31" s="40"/>
      <c r="AI31" s="40"/>
    </row>
    <row r="32" spans="1:35" ht="15">
      <c r="A32" s="41">
        <v>47</v>
      </c>
      <c r="B32" s="184">
        <v>8.520022948476317</v>
      </c>
      <c r="C32" s="184">
        <v>8.361002486692964</v>
      </c>
      <c r="D32"/>
      <c r="E32" s="190">
        <v>47</v>
      </c>
      <c r="F32" s="191">
        <v>6.66</v>
      </c>
      <c r="G32" s="191">
        <v>6.53</v>
      </c>
      <c r="H32" s="194"/>
      <c r="I32" s="41">
        <v>47</v>
      </c>
      <c r="J32" s="145">
        <v>26.11</v>
      </c>
      <c r="K32" s="145">
        <v>27.41</v>
      </c>
      <c r="L32" s="44"/>
      <c r="M32" s="1">
        <v>37.53</v>
      </c>
      <c r="N32" s="1">
        <v>40.34</v>
      </c>
      <c r="O32" s="1"/>
      <c r="P32" s="44"/>
      <c r="Q32" s="1">
        <v>45.92</v>
      </c>
      <c r="R32" s="1">
        <v>50.09</v>
      </c>
      <c r="S32" s="44"/>
      <c r="U32" s="241" t="s">
        <v>185</v>
      </c>
      <c r="V32" s="205">
        <v>0.8</v>
      </c>
      <c r="W32" s="206">
        <f>input_wzp_perc_np*X13/100</f>
        <v>1378.0944303999997</v>
      </c>
      <c r="X32" s="209">
        <f>(V32*$W$32)*12/1000</f>
        <v>13.229706531839998</v>
      </c>
      <c r="Y32" s="99">
        <f>IF(AF4="Man",X32,X33)</f>
        <v>13.229706531839998</v>
      </c>
      <c r="Z32" s="205"/>
      <c r="AA32" s="205"/>
      <c r="AB32" s="205"/>
      <c r="AE32" s="40"/>
      <c r="AF32" s="40"/>
      <c r="AG32" s="40"/>
      <c r="AH32" s="40"/>
      <c r="AI32" s="40"/>
    </row>
    <row r="33" spans="1:35" ht="15">
      <c r="A33" s="41">
        <v>48</v>
      </c>
      <c r="B33" s="184">
        <v>9.610805301120324</v>
      </c>
      <c r="C33" s="184">
        <v>9.07364398235248</v>
      </c>
      <c r="D33"/>
      <c r="E33" s="190">
        <v>48</v>
      </c>
      <c r="F33" s="191">
        <v>7.51</v>
      </c>
      <c r="G33" s="191">
        <v>7.09</v>
      </c>
      <c r="H33" s="194"/>
      <c r="I33" s="41">
        <v>48</v>
      </c>
      <c r="J33" s="145">
        <v>25.65</v>
      </c>
      <c r="K33" s="145">
        <v>26.97</v>
      </c>
      <c r="L33" s="44"/>
      <c r="M33" s="1">
        <v>36.57</v>
      </c>
      <c r="N33" s="1">
        <v>39.39</v>
      </c>
      <c r="O33" s="1"/>
      <c r="P33" s="44"/>
      <c r="Q33" s="1">
        <v>44.54</v>
      </c>
      <c r="R33" s="1">
        <v>48.67</v>
      </c>
      <c r="S33" s="44"/>
      <c r="U33" s="98" t="s">
        <v>186</v>
      </c>
      <c r="V33" s="205">
        <v>0.65</v>
      </c>
      <c r="W33" s="205"/>
      <c r="X33" s="209">
        <f>(V33*$W$32)*12/1000</f>
        <v>10.749136557119998</v>
      </c>
      <c r="Y33" s="99"/>
      <c r="Z33" s="206"/>
      <c r="AA33" s="206"/>
      <c r="AB33" s="207"/>
      <c r="AE33" s="40"/>
      <c r="AF33" s="40"/>
      <c r="AG33" s="40"/>
      <c r="AH33" s="40"/>
      <c r="AI33" s="40"/>
    </row>
    <row r="34" spans="1:35" ht="15">
      <c r="A34" s="41">
        <v>49</v>
      </c>
      <c r="B34" s="224">
        <v>10.956127519259288</v>
      </c>
      <c r="C34" s="184">
        <v>9.921637689974725</v>
      </c>
      <c r="D34"/>
      <c r="E34" s="190">
        <v>49</v>
      </c>
      <c r="F34" s="225">
        <v>8.56</v>
      </c>
      <c r="G34" s="191">
        <v>7.75</v>
      </c>
      <c r="H34" s="194"/>
      <c r="I34" s="41">
        <v>49</v>
      </c>
      <c r="J34" s="145">
        <v>25.18</v>
      </c>
      <c r="K34" s="145">
        <v>26.53</v>
      </c>
      <c r="L34" s="44"/>
      <c r="M34" s="1">
        <v>35.62</v>
      </c>
      <c r="N34" s="1">
        <v>38.44</v>
      </c>
      <c r="O34" s="1"/>
      <c r="P34" s="44"/>
      <c r="Q34" s="1">
        <v>43.17</v>
      </c>
      <c r="R34" s="1">
        <v>47.27</v>
      </c>
      <c r="S34" s="44"/>
      <c r="U34" s="98" t="s">
        <v>188</v>
      </c>
      <c r="V34" s="205">
        <f>input_wzp_premie_perc_wg</f>
        <v>100</v>
      </c>
      <c r="W34" s="205"/>
      <c r="X34" s="205"/>
      <c r="Y34" s="242">
        <f>V34*Y32/100</f>
        <v>13.229706531839998</v>
      </c>
      <c r="Z34" s="205"/>
      <c r="AA34" s="205"/>
      <c r="AB34" s="207"/>
      <c r="AE34" s="40"/>
      <c r="AF34" s="40"/>
      <c r="AG34" s="40"/>
      <c r="AH34" s="40"/>
      <c r="AI34" s="40"/>
    </row>
    <row r="35" spans="1:36" ht="15.75" thickBot="1">
      <c r="A35" s="41">
        <v>50</v>
      </c>
      <c r="B35" s="184">
        <v>12.327347427020534</v>
      </c>
      <c r="C35" s="184">
        <v>10.984666515632664</v>
      </c>
      <c r="D35"/>
      <c r="E35" s="190">
        <v>50</v>
      </c>
      <c r="F35" s="191">
        <v>9.75</v>
      </c>
      <c r="G35" s="191">
        <v>8.58</v>
      </c>
      <c r="H35" s="194"/>
      <c r="I35" s="41">
        <v>50</v>
      </c>
      <c r="J35" s="145">
        <v>24.71</v>
      </c>
      <c r="K35" s="145">
        <v>26.08</v>
      </c>
      <c r="L35" s="44"/>
      <c r="M35" s="1">
        <v>34.67</v>
      </c>
      <c r="N35" s="1">
        <v>37.5</v>
      </c>
      <c r="O35" s="1"/>
      <c r="P35" s="44"/>
      <c r="Q35" s="1">
        <v>41.82</v>
      </c>
      <c r="R35" s="1">
        <v>45.88</v>
      </c>
      <c r="S35" s="44"/>
      <c r="U35" s="83" t="s">
        <v>189</v>
      </c>
      <c r="V35" s="132">
        <f>input_wzp_premie_perc_wn</f>
        <v>0</v>
      </c>
      <c r="W35" s="132"/>
      <c r="X35" s="132"/>
      <c r="Y35" s="243">
        <f>V35*Y32/100</f>
        <v>0</v>
      </c>
      <c r="Z35" s="205"/>
      <c r="AA35" s="205"/>
      <c r="AB35" s="205"/>
      <c r="AE35" s="40"/>
      <c r="AF35" s="40"/>
      <c r="AG35" s="40"/>
      <c r="AH35" s="40"/>
      <c r="AI35" s="40"/>
      <c r="AJ35" s="51"/>
    </row>
    <row r="36" spans="1:36" ht="15">
      <c r="A36" s="41">
        <v>51</v>
      </c>
      <c r="B36" s="184">
        <v>13.955882880424685</v>
      </c>
      <c r="C36" s="184">
        <v>12.121408874491072</v>
      </c>
      <c r="D36"/>
      <c r="E36" s="190">
        <v>51</v>
      </c>
      <c r="F36" s="191">
        <v>11.04</v>
      </c>
      <c r="G36" s="191">
        <v>9.47</v>
      </c>
      <c r="H36" s="194"/>
      <c r="I36" s="41">
        <v>51</v>
      </c>
      <c r="J36" s="145">
        <v>24.22</v>
      </c>
      <c r="K36" s="145">
        <v>25.63</v>
      </c>
      <c r="L36" s="44"/>
      <c r="M36" s="1">
        <v>33.73</v>
      </c>
      <c r="N36" s="1">
        <v>36.56</v>
      </c>
      <c r="O36" s="1"/>
      <c r="P36" s="44"/>
      <c r="Q36" s="1">
        <v>40.49</v>
      </c>
      <c r="R36" s="1">
        <v>44.52</v>
      </c>
      <c r="S36" s="44"/>
      <c r="U36" s="207"/>
      <c r="V36" s="208"/>
      <c r="W36" s="205"/>
      <c r="X36" s="205"/>
      <c r="Y36" s="205"/>
      <c r="Z36" s="205"/>
      <c r="AA36" s="205"/>
      <c r="AB36" s="205"/>
      <c r="AE36" s="40"/>
      <c r="AF36" s="40"/>
      <c r="AG36" s="40"/>
      <c r="AH36" s="40"/>
      <c r="AI36" s="40"/>
      <c r="AJ36" s="51"/>
    </row>
    <row r="37" spans="1:35" ht="15">
      <c r="A37" s="41">
        <v>52</v>
      </c>
      <c r="B37" s="184">
        <v>15.524887165312892</v>
      </c>
      <c r="C37" s="184">
        <v>13.897286715725334</v>
      </c>
      <c r="D37"/>
      <c r="E37" s="190">
        <v>52</v>
      </c>
      <c r="F37" s="191">
        <v>12.28</v>
      </c>
      <c r="G37" s="191">
        <v>10.86</v>
      </c>
      <c r="H37" s="194"/>
      <c r="I37" s="41">
        <v>52</v>
      </c>
      <c r="J37" s="145">
        <v>23.74</v>
      </c>
      <c r="K37" s="145">
        <v>25.17</v>
      </c>
      <c r="L37" s="44"/>
      <c r="M37" s="1">
        <v>32.79</v>
      </c>
      <c r="N37" s="1">
        <v>35.62</v>
      </c>
      <c r="O37" s="1"/>
      <c r="P37" s="44"/>
      <c r="Q37" s="1">
        <v>39.18</v>
      </c>
      <c r="R37" s="1">
        <v>43.17</v>
      </c>
      <c r="S37" s="44"/>
      <c r="U37" s="207"/>
      <c r="V37" s="209"/>
      <c r="W37" s="205"/>
      <c r="X37" s="205"/>
      <c r="Y37" s="205"/>
      <c r="Z37" s="205"/>
      <c r="AA37" s="205"/>
      <c r="AB37" s="205"/>
      <c r="AE37" s="40"/>
      <c r="AF37" s="40"/>
      <c r="AG37" s="40"/>
      <c r="AH37" s="40"/>
      <c r="AI37" s="40"/>
    </row>
    <row r="38" spans="1:35" ht="15">
      <c r="A38" s="41">
        <v>53</v>
      </c>
      <c r="B38" s="184">
        <v>17.3505039409497</v>
      </c>
      <c r="C38" s="184">
        <v>14.677748868312982</v>
      </c>
      <c r="D38"/>
      <c r="E38" s="190">
        <v>53</v>
      </c>
      <c r="F38" s="191">
        <v>13.89</v>
      </c>
      <c r="G38" s="191">
        <v>11.47</v>
      </c>
      <c r="H38" s="194"/>
      <c r="I38" s="41">
        <v>53</v>
      </c>
      <c r="J38" s="145">
        <v>23.24</v>
      </c>
      <c r="K38" s="145">
        <v>24.71</v>
      </c>
      <c r="L38" s="44"/>
      <c r="M38" s="1">
        <v>31.86</v>
      </c>
      <c r="N38" s="1">
        <v>34.69</v>
      </c>
      <c r="O38" s="1"/>
      <c r="P38" s="44"/>
      <c r="Q38" s="1">
        <v>37.89</v>
      </c>
      <c r="R38" s="1">
        <v>41.84</v>
      </c>
      <c r="S38" s="44"/>
      <c r="U38" s="207"/>
      <c r="V38" s="209"/>
      <c r="W38" s="205"/>
      <c r="X38" s="205"/>
      <c r="Y38" s="205"/>
      <c r="Z38" s="205"/>
      <c r="AA38" s="205"/>
      <c r="AB38" s="205"/>
      <c r="AE38" s="40"/>
      <c r="AF38" s="40"/>
      <c r="AG38" s="40"/>
      <c r="AH38" s="40"/>
      <c r="AI38" s="40"/>
    </row>
    <row r="39" spans="1:35" ht="15">
      <c r="A39" s="41">
        <v>54</v>
      </c>
      <c r="B39" s="184">
        <v>19.11660558974522</v>
      </c>
      <c r="C39" s="184">
        <v>16.165055738426148</v>
      </c>
      <c r="D39"/>
      <c r="E39" s="190">
        <v>54</v>
      </c>
      <c r="F39" s="191">
        <v>15.3</v>
      </c>
      <c r="G39" s="191">
        <v>12.63</v>
      </c>
      <c r="H39" s="194"/>
      <c r="I39" s="41">
        <v>54</v>
      </c>
      <c r="J39" s="145">
        <v>22.74</v>
      </c>
      <c r="K39" s="145">
        <v>24.24</v>
      </c>
      <c r="L39" s="44"/>
      <c r="M39" s="1">
        <v>30.93</v>
      </c>
      <c r="N39" s="1">
        <v>33.77</v>
      </c>
      <c r="O39" s="1"/>
      <c r="P39" s="44"/>
      <c r="Q39" s="1">
        <v>36.61</v>
      </c>
      <c r="R39" s="1">
        <v>40.53</v>
      </c>
      <c r="S39" s="44"/>
      <c r="U39" s="207"/>
      <c r="V39" s="209"/>
      <c r="W39" s="205"/>
      <c r="X39" s="205"/>
      <c r="Y39" s="205"/>
      <c r="Z39" s="205"/>
      <c r="AA39" s="205"/>
      <c r="AB39" s="205"/>
      <c r="AE39" s="40"/>
      <c r="AF39" s="40"/>
      <c r="AG39" s="40"/>
      <c r="AH39" s="40"/>
      <c r="AI39" s="40"/>
    </row>
    <row r="40" spans="1:28" ht="15">
      <c r="A40" s="41">
        <v>55</v>
      </c>
      <c r="B40" s="184">
        <v>21.73014727061757</v>
      </c>
      <c r="C40" s="184">
        <v>17.652442616384107</v>
      </c>
      <c r="D40"/>
      <c r="E40" s="190">
        <v>55</v>
      </c>
      <c r="F40" s="191">
        <v>17.6</v>
      </c>
      <c r="G40" s="191">
        <v>13.8</v>
      </c>
      <c r="H40" s="194"/>
      <c r="I40" s="41">
        <v>55</v>
      </c>
      <c r="J40" s="145">
        <v>22.24</v>
      </c>
      <c r="K40" s="145">
        <v>23.77</v>
      </c>
      <c r="L40" s="44"/>
      <c r="M40" s="1">
        <v>30</v>
      </c>
      <c r="N40" s="1">
        <v>32.85</v>
      </c>
      <c r="O40" s="1"/>
      <c r="P40" s="44"/>
      <c r="Q40" s="1">
        <v>35.35</v>
      </c>
      <c r="R40" s="1">
        <v>39.25</v>
      </c>
      <c r="S40" s="44"/>
      <c r="U40" s="205"/>
      <c r="V40" s="205"/>
      <c r="W40" s="205"/>
      <c r="X40" s="205"/>
      <c r="Y40" s="205"/>
      <c r="Z40" s="206"/>
      <c r="AA40" s="206"/>
      <c r="AB40" s="210"/>
    </row>
    <row r="41" spans="1:28" ht="15">
      <c r="A41" s="41">
        <v>56</v>
      </c>
      <c r="B41" s="184">
        <v>24.01569801384739</v>
      </c>
      <c r="C41" s="184">
        <v>19.36098276324907</v>
      </c>
      <c r="D41"/>
      <c r="E41" s="190">
        <v>56</v>
      </c>
      <c r="F41" s="191">
        <v>19.45</v>
      </c>
      <c r="G41" s="191">
        <v>15.13</v>
      </c>
      <c r="H41" s="194"/>
      <c r="I41" s="41">
        <v>56</v>
      </c>
      <c r="J41" s="145">
        <v>21.73</v>
      </c>
      <c r="K41" s="145">
        <v>23.29</v>
      </c>
      <c r="L41" s="44"/>
      <c r="M41" s="1">
        <v>29.09</v>
      </c>
      <c r="N41" s="1">
        <v>31.94</v>
      </c>
      <c r="O41" s="1"/>
      <c r="P41" s="44"/>
      <c r="Q41" s="1">
        <v>34.11</v>
      </c>
      <c r="R41" s="1">
        <v>37.98</v>
      </c>
      <c r="S41" s="44"/>
      <c r="U41" s="205"/>
      <c r="V41" s="205"/>
      <c r="W41" s="205"/>
      <c r="X41" s="205"/>
      <c r="Y41" s="205"/>
      <c r="Z41" s="205"/>
      <c r="AA41" s="205"/>
      <c r="AB41" s="207"/>
    </row>
    <row r="42" spans="1:28" ht="15">
      <c r="A42" s="41">
        <v>57</v>
      </c>
      <c r="B42" s="184">
        <v>26.95196869364548</v>
      </c>
      <c r="C42" s="184">
        <v>21.131323279346198</v>
      </c>
      <c r="D42"/>
      <c r="E42" s="190">
        <v>57</v>
      </c>
      <c r="F42" s="191">
        <v>22.09</v>
      </c>
      <c r="G42" s="191">
        <v>16.31</v>
      </c>
      <c r="H42" s="194"/>
      <c r="I42" s="41">
        <v>57</v>
      </c>
      <c r="J42" s="145">
        <v>21.21</v>
      </c>
      <c r="K42" s="145">
        <v>22.81</v>
      </c>
      <c r="L42" s="44"/>
      <c r="M42" s="1">
        <v>28.17</v>
      </c>
      <c r="N42" s="1">
        <v>31.03</v>
      </c>
      <c r="O42" s="1"/>
      <c r="P42" s="44"/>
      <c r="Q42" s="1">
        <v>32.89</v>
      </c>
      <c r="R42" s="1">
        <v>36.73</v>
      </c>
      <c r="S42" s="44"/>
      <c r="U42" s="205"/>
      <c r="V42" s="205"/>
      <c r="W42" s="205"/>
      <c r="X42" s="205"/>
      <c r="Y42" s="205"/>
      <c r="Z42" s="205"/>
      <c r="AA42" s="205"/>
      <c r="AB42" s="205"/>
    </row>
    <row r="43" spans="1:28" ht="15">
      <c r="A43" s="41">
        <v>58</v>
      </c>
      <c r="B43" s="184">
        <v>29.96021195185925</v>
      </c>
      <c r="C43" s="184">
        <v>23.264281731758015</v>
      </c>
      <c r="D43"/>
      <c r="E43" s="190">
        <v>58</v>
      </c>
      <c r="F43" s="191">
        <v>24.55</v>
      </c>
      <c r="G43" s="191">
        <v>17.96</v>
      </c>
      <c r="H43" s="194"/>
      <c r="I43" s="41">
        <v>58</v>
      </c>
      <c r="J43" s="145">
        <v>20.69</v>
      </c>
      <c r="K43" s="145">
        <v>22.32</v>
      </c>
      <c r="L43" s="44"/>
      <c r="M43" s="1">
        <v>27.27</v>
      </c>
      <c r="N43" s="1">
        <v>30.13</v>
      </c>
      <c r="O43" s="1"/>
      <c r="P43" s="44"/>
      <c r="Q43" s="1">
        <v>31.69</v>
      </c>
      <c r="R43" s="1">
        <v>35.49</v>
      </c>
      <c r="S43" s="44"/>
      <c r="U43" s="207"/>
      <c r="V43" s="208"/>
      <c r="W43" s="205"/>
      <c r="X43" s="205"/>
      <c r="Y43" s="205"/>
      <c r="Z43" s="205"/>
      <c r="AA43" s="205"/>
      <c r="AB43" s="205"/>
    </row>
    <row r="44" spans="1:28" ht="15">
      <c r="A44" s="41">
        <v>59</v>
      </c>
      <c r="B44" s="184">
        <v>32.83744520027257</v>
      </c>
      <c r="C44" s="184">
        <v>25.108577992977242</v>
      </c>
      <c r="D44"/>
      <c r="E44" s="190">
        <v>59</v>
      </c>
      <c r="F44" s="191">
        <v>26.91</v>
      </c>
      <c r="G44" s="191">
        <v>19.38</v>
      </c>
      <c r="H44" s="194"/>
      <c r="I44" s="41">
        <v>59</v>
      </c>
      <c r="J44" s="145">
        <v>20.17</v>
      </c>
      <c r="K44" s="145">
        <v>21.83</v>
      </c>
      <c r="L44" s="44"/>
      <c r="M44" s="1">
        <v>26.37</v>
      </c>
      <c r="N44" s="1">
        <v>29.23</v>
      </c>
      <c r="O44" s="1"/>
      <c r="P44" s="44"/>
      <c r="Q44" s="1">
        <v>30.51</v>
      </c>
      <c r="R44" s="1">
        <v>34.28</v>
      </c>
      <c r="S44" s="44"/>
      <c r="U44" s="207"/>
      <c r="V44" s="209"/>
      <c r="W44" s="205"/>
      <c r="X44" s="205"/>
      <c r="Y44" s="205"/>
      <c r="Z44" s="205"/>
      <c r="AA44" s="205"/>
      <c r="AB44" s="205"/>
    </row>
    <row r="45" spans="1:28" ht="15">
      <c r="A45" s="41">
        <v>60</v>
      </c>
      <c r="B45" s="184">
        <v>37.0284988752201</v>
      </c>
      <c r="C45" s="184">
        <v>28.1641068604372</v>
      </c>
      <c r="D45"/>
      <c r="E45" s="190">
        <v>60</v>
      </c>
      <c r="F45" s="191">
        <v>30.7</v>
      </c>
      <c r="G45" s="191">
        <v>21.74</v>
      </c>
      <c r="H45" s="194"/>
      <c r="I45" s="41">
        <v>60</v>
      </c>
      <c r="J45" s="145">
        <v>19.64</v>
      </c>
      <c r="K45" s="145">
        <v>21.33</v>
      </c>
      <c r="L45" s="44"/>
      <c r="M45" s="1">
        <v>25.48</v>
      </c>
      <c r="N45" s="1">
        <v>28.34</v>
      </c>
      <c r="O45" s="1"/>
      <c r="P45" s="44"/>
      <c r="Q45" s="1">
        <v>29.35</v>
      </c>
      <c r="R45" s="1">
        <v>33.08</v>
      </c>
      <c r="S45" s="44"/>
      <c r="U45" s="207"/>
      <c r="V45" s="209"/>
      <c r="W45" s="205"/>
      <c r="X45" s="205"/>
      <c r="Y45" s="205"/>
      <c r="Z45" s="205"/>
      <c r="AA45" s="205"/>
      <c r="AB45" s="205"/>
    </row>
    <row r="46" spans="1:28" ht="15">
      <c r="A46" s="41">
        <v>61</v>
      </c>
      <c r="B46" s="184">
        <v>40.951435402825325</v>
      </c>
      <c r="C46" s="184">
        <v>31.010807718929136</v>
      </c>
      <c r="D46"/>
      <c r="E46" s="190">
        <v>61</v>
      </c>
      <c r="F46" s="191">
        <v>33.95</v>
      </c>
      <c r="G46" s="191">
        <v>23.65</v>
      </c>
      <c r="H46" s="194"/>
      <c r="I46" s="41">
        <v>61</v>
      </c>
      <c r="J46" s="145">
        <v>19.11</v>
      </c>
      <c r="K46" s="145">
        <v>20.82</v>
      </c>
      <c r="L46" s="44"/>
      <c r="M46" s="1">
        <v>24.6</v>
      </c>
      <c r="N46" s="1">
        <v>27.45</v>
      </c>
      <c r="O46" s="1"/>
      <c r="P46" s="44"/>
      <c r="Q46" s="1">
        <v>28.2</v>
      </c>
      <c r="R46" s="1">
        <v>31.89</v>
      </c>
      <c r="S46" s="44"/>
      <c r="U46" s="207"/>
      <c r="V46" s="209"/>
      <c r="W46" s="205"/>
      <c r="X46" s="205"/>
      <c r="Y46" s="205"/>
      <c r="Z46" s="205"/>
      <c r="AA46" s="205"/>
      <c r="AB46" s="205"/>
    </row>
    <row r="47" spans="1:28" ht="15">
      <c r="A47" s="41">
        <v>62</v>
      </c>
      <c r="B47" s="184">
        <v>45.60359480711572</v>
      </c>
      <c r="C47" s="184">
        <v>32.929345393333</v>
      </c>
      <c r="D47"/>
      <c r="E47" s="190">
        <v>62</v>
      </c>
      <c r="F47" s="191">
        <v>37.81</v>
      </c>
      <c r="G47" s="191">
        <v>24.8</v>
      </c>
      <c r="H47" s="194"/>
      <c r="I47" s="41">
        <v>62</v>
      </c>
      <c r="J47" s="145">
        <v>18.57</v>
      </c>
      <c r="K47" s="145">
        <v>20.31</v>
      </c>
      <c r="L47" s="44"/>
      <c r="M47" s="1">
        <v>23.73</v>
      </c>
      <c r="N47" s="1">
        <v>26.57</v>
      </c>
      <c r="O47" s="1"/>
      <c r="P47" s="44"/>
      <c r="Q47" s="1">
        <v>27.08</v>
      </c>
      <c r="R47" s="1">
        <v>30.72</v>
      </c>
      <c r="S47" s="44"/>
      <c r="U47" s="205"/>
      <c r="V47" s="205"/>
      <c r="W47" s="205"/>
      <c r="X47" s="205"/>
      <c r="Y47" s="205"/>
      <c r="Z47" s="205"/>
      <c r="AA47" s="205"/>
      <c r="AB47" s="205"/>
    </row>
    <row r="48" spans="1:28" ht="15">
      <c r="A48" s="41">
        <v>63</v>
      </c>
      <c r="B48" s="184">
        <v>50.973339688729695</v>
      </c>
      <c r="C48" s="184">
        <v>35.56133481045249</v>
      </c>
      <c r="D48"/>
      <c r="E48" s="190">
        <v>63</v>
      </c>
      <c r="F48" s="191">
        <v>42.26</v>
      </c>
      <c r="G48" s="191">
        <v>26.44</v>
      </c>
      <c r="H48" s="194"/>
      <c r="I48" s="41">
        <v>63</v>
      </c>
      <c r="J48" s="145">
        <v>18.02</v>
      </c>
      <c r="K48" s="145">
        <v>19.79</v>
      </c>
      <c r="L48" s="44"/>
      <c r="M48" s="1">
        <v>22.85</v>
      </c>
      <c r="N48" s="1">
        <v>25.69</v>
      </c>
      <c r="O48" s="1"/>
      <c r="P48" s="44"/>
      <c r="Q48" s="1">
        <v>25.97</v>
      </c>
      <c r="R48" s="1">
        <v>29.57</v>
      </c>
      <c r="S48" s="44"/>
      <c r="U48" s="205"/>
      <c r="V48" s="205"/>
      <c r="W48" s="205"/>
      <c r="X48" s="205"/>
      <c r="Y48" s="205"/>
      <c r="Z48" s="205"/>
      <c r="AA48" s="205"/>
      <c r="AB48" s="205"/>
    </row>
    <row r="49" spans="1:28" ht="15">
      <c r="A49" s="41">
        <v>64</v>
      </c>
      <c r="B49" s="184">
        <v>56.74446679563642</v>
      </c>
      <c r="C49" s="184">
        <v>39.682144441242286</v>
      </c>
      <c r="D49"/>
      <c r="E49" s="190">
        <v>64</v>
      </c>
      <c r="F49" s="191">
        <v>47.04</v>
      </c>
      <c r="G49" s="191">
        <v>29.13</v>
      </c>
      <c r="H49" s="194"/>
      <c r="I49" s="41">
        <v>64</v>
      </c>
      <c r="J49" s="145">
        <v>17.48</v>
      </c>
      <c r="K49" s="145">
        <v>19.27</v>
      </c>
      <c r="L49" s="44"/>
      <c r="M49" s="1">
        <v>21.99</v>
      </c>
      <c r="N49" s="1">
        <v>24.81</v>
      </c>
      <c r="O49" s="1"/>
      <c r="P49" s="44"/>
      <c r="Q49" s="1">
        <v>24.88</v>
      </c>
      <c r="R49" s="1">
        <v>28.44</v>
      </c>
      <c r="S49" s="44"/>
      <c r="U49" s="205"/>
      <c r="V49" s="205"/>
      <c r="W49" s="205"/>
      <c r="X49" s="205"/>
      <c r="Y49" s="205"/>
      <c r="Z49" s="205"/>
      <c r="AA49" s="205"/>
      <c r="AB49" s="205"/>
    </row>
    <row r="50" spans="1:28" ht="15">
      <c r="A50" s="41">
        <v>65</v>
      </c>
      <c r="B50" s="184">
        <v>63.174178890447</v>
      </c>
      <c r="C50" s="184">
        <v>42.81302979712347</v>
      </c>
      <c r="D50"/>
      <c r="E50" s="190">
        <v>65</v>
      </c>
      <c r="F50" s="191">
        <v>52.37</v>
      </c>
      <c r="G50" s="191">
        <v>30.61</v>
      </c>
      <c r="H50" s="194"/>
      <c r="I50" s="41">
        <v>65</v>
      </c>
      <c r="J50" s="145">
        <v>16.92</v>
      </c>
      <c r="K50" s="145">
        <v>18.74</v>
      </c>
      <c r="L50" s="44"/>
      <c r="M50" s="1">
        <v>21.14</v>
      </c>
      <c r="N50" s="1">
        <v>23.94</v>
      </c>
      <c r="O50" s="1"/>
      <c r="P50" s="44"/>
      <c r="Q50" s="1">
        <v>23.81</v>
      </c>
      <c r="R50" s="1">
        <v>27.31</v>
      </c>
      <c r="S50" s="44"/>
      <c r="U50" s="205"/>
      <c r="V50" s="205"/>
      <c r="W50" s="205"/>
      <c r="X50" s="205"/>
      <c r="Y50" s="205"/>
      <c r="Z50" s="205"/>
      <c r="AA50" s="205"/>
      <c r="AB50" s="205"/>
    </row>
    <row r="51" spans="1:28" ht="15">
      <c r="A51" s="41">
        <v>66</v>
      </c>
      <c r="B51" s="184">
        <v>70.13142167684876</v>
      </c>
      <c r="C51" s="184">
        <v>46.799394728531176</v>
      </c>
      <c r="D51"/>
      <c r="E51" s="190">
        <v>66</v>
      </c>
      <c r="F51" s="191">
        <v>58.14</v>
      </c>
      <c r="G51" s="191">
        <v>33.02</v>
      </c>
      <c r="H51" s="194"/>
      <c r="I51" s="41">
        <v>66</v>
      </c>
      <c r="J51" s="145">
        <v>16.37</v>
      </c>
      <c r="K51" s="145">
        <v>18.2</v>
      </c>
      <c r="L51" s="44"/>
      <c r="M51" s="1">
        <v>20.29</v>
      </c>
      <c r="N51" s="1">
        <v>23.07</v>
      </c>
      <c r="O51" s="1"/>
      <c r="P51" s="44"/>
      <c r="Q51" s="1">
        <v>22.76</v>
      </c>
      <c r="R51" s="1">
        <v>26.21</v>
      </c>
      <c r="S51" s="44"/>
      <c r="U51" s="211"/>
      <c r="V51" s="205"/>
      <c r="W51" s="206"/>
      <c r="X51" s="205"/>
      <c r="Y51" s="205"/>
      <c r="Z51" s="205"/>
      <c r="AA51" s="205"/>
      <c r="AB51" s="205"/>
    </row>
    <row r="52" spans="1:28" ht="15">
      <c r="A52" s="41">
        <v>67</v>
      </c>
      <c r="B52" s="184">
        <v>77.42527262661363</v>
      </c>
      <c r="C52" s="184">
        <v>50.79233224407898</v>
      </c>
      <c r="D52"/>
      <c r="E52" s="190">
        <v>67</v>
      </c>
      <c r="F52" s="191">
        <v>64.18555100746269</v>
      </c>
      <c r="G52" s="191">
        <v>35.83399039819771</v>
      </c>
      <c r="U52" s="211"/>
      <c r="V52" s="205"/>
      <c r="W52" s="206"/>
      <c r="X52" s="205"/>
      <c r="Y52" s="205"/>
      <c r="Z52" s="205"/>
      <c r="AA52" s="205"/>
      <c r="AB52" s="205"/>
    </row>
    <row r="53" spans="2:28" ht="15">
      <c r="B53" s="184">
        <v>86.56923005344045</v>
      </c>
      <c r="C53" s="184">
        <v>57.272328147064876</v>
      </c>
      <c r="D53" s="183"/>
      <c r="E53" s="190">
        <v>68</v>
      </c>
      <c r="F53" s="191">
        <v>71.76589171430213</v>
      </c>
      <c r="G53" s="191">
        <v>40.40562750775427</v>
      </c>
      <c r="U53" s="205"/>
      <c r="V53" s="205"/>
      <c r="W53" s="206"/>
      <c r="X53" s="205"/>
      <c r="Y53" s="205"/>
      <c r="Z53" s="205"/>
      <c r="AA53" s="205"/>
      <c r="AB53" s="205"/>
    </row>
    <row r="54" spans="2:28" ht="15">
      <c r="B54" s="184">
        <v>96.30855179485036</v>
      </c>
      <c r="C54" s="184">
        <v>63.2672077027233</v>
      </c>
      <c r="D54" s="183"/>
      <c r="E54" s="190">
        <v>69</v>
      </c>
      <c r="F54" s="191">
        <v>79.83978943793095</v>
      </c>
      <c r="G54" s="191">
        <v>44.635015034271284</v>
      </c>
      <c r="U54" s="205"/>
      <c r="V54" s="205"/>
      <c r="W54" s="205"/>
      <c r="X54" s="205"/>
      <c r="Y54" s="205"/>
      <c r="Z54" s="205"/>
      <c r="AA54" s="205"/>
      <c r="AB54" s="205"/>
    </row>
    <row r="55" spans="2:28" ht="15">
      <c r="B55" s="184">
        <v>106.12913460848209</v>
      </c>
      <c r="C55" s="184">
        <v>69.1895608101227</v>
      </c>
      <c r="D55" s="183"/>
      <c r="E55" s="190">
        <v>70</v>
      </c>
      <c r="F55" s="191">
        <v>87.98105259043164</v>
      </c>
      <c r="G55" s="191">
        <v>48.813235151541555</v>
      </c>
      <c r="U55" s="205"/>
      <c r="V55" s="205"/>
      <c r="W55" s="205"/>
      <c r="X55" s="205"/>
      <c r="Y55" s="205"/>
      <c r="Z55" s="205"/>
      <c r="AA55" s="205"/>
      <c r="AB55" s="205"/>
    </row>
    <row r="56" spans="21:28" ht="15">
      <c r="U56" s="209"/>
      <c r="V56" s="212"/>
      <c r="W56" s="206"/>
      <c r="X56" s="205"/>
      <c r="Y56" s="205"/>
      <c r="Z56" s="205"/>
      <c r="AA56" s="205"/>
      <c r="AB56" s="205"/>
    </row>
    <row r="57" spans="21:28" ht="15">
      <c r="U57" s="209"/>
      <c r="V57" s="212"/>
      <c r="W57" s="206"/>
      <c r="X57" s="205"/>
      <c r="Y57" s="205"/>
      <c r="Z57" s="205"/>
      <c r="AA57" s="205"/>
      <c r="AB57" s="205"/>
    </row>
    <row r="58" spans="21:28" ht="15">
      <c r="U58" s="205"/>
      <c r="V58" s="205"/>
      <c r="W58" s="206"/>
      <c r="X58" s="205"/>
      <c r="Y58" s="205"/>
      <c r="Z58" s="205"/>
      <c r="AA58" s="205"/>
      <c r="AB58" s="205"/>
    </row>
    <row r="59" spans="21:28" ht="15">
      <c r="U59" s="205"/>
      <c r="V59" s="205"/>
      <c r="W59" s="205"/>
      <c r="X59" s="205"/>
      <c r="Y59" s="205"/>
      <c r="Z59" s="205"/>
      <c r="AA59" s="205"/>
      <c r="AB59" s="205"/>
    </row>
    <row r="60" spans="21:28" ht="15">
      <c r="U60" s="205"/>
      <c r="V60" s="205"/>
      <c r="W60" s="205"/>
      <c r="X60" s="205"/>
      <c r="Y60" s="205"/>
      <c r="Z60" s="205"/>
      <c r="AA60" s="205"/>
      <c r="AB60" s="205"/>
    </row>
    <row r="61" spans="21:28" ht="15">
      <c r="U61" s="209"/>
      <c r="V61" s="205"/>
      <c r="W61" s="205"/>
      <c r="X61" s="205"/>
      <c r="Y61" s="205"/>
      <c r="Z61" s="205"/>
      <c r="AA61" s="205"/>
      <c r="AB61" s="205"/>
    </row>
    <row r="62" spans="21:28" ht="15">
      <c r="U62" s="205"/>
      <c r="V62" s="205"/>
      <c r="W62" s="205"/>
      <c r="X62" s="205"/>
      <c r="Y62" s="205"/>
      <c r="Z62" s="205"/>
      <c r="AA62" s="205"/>
      <c r="AB62" s="205"/>
    </row>
    <row r="63" spans="21:28" ht="15">
      <c r="U63" s="205"/>
      <c r="V63" s="205"/>
      <c r="W63" s="205"/>
      <c r="X63" s="205"/>
      <c r="Y63" s="213"/>
      <c r="Z63" s="205"/>
      <c r="AA63" s="205"/>
      <c r="AB63" s="205"/>
    </row>
    <row r="64" spans="21:28" ht="15">
      <c r="U64" s="205"/>
      <c r="V64" s="205"/>
      <c r="W64" s="205"/>
      <c r="X64" s="205"/>
      <c r="Y64" s="214"/>
      <c r="Z64" s="205"/>
      <c r="AA64" s="205"/>
      <c r="AB64" s="205"/>
    </row>
    <row r="65" spans="21:28" ht="15">
      <c r="U65" s="205"/>
      <c r="V65" s="205"/>
      <c r="W65" s="205"/>
      <c r="X65" s="205"/>
      <c r="Y65" s="205"/>
      <c r="Z65" s="205"/>
      <c r="AA65" s="205"/>
      <c r="AB65" s="205"/>
    </row>
    <row r="66" spans="21:28" ht="15">
      <c r="U66" s="205"/>
      <c r="V66" s="205"/>
      <c r="W66" s="205"/>
      <c r="X66" s="205"/>
      <c r="Y66" s="205"/>
      <c r="Z66" s="205"/>
      <c r="AA66" s="205"/>
      <c r="AB66" s="205"/>
    </row>
    <row r="67" spans="21:28" ht="15">
      <c r="U67" s="206"/>
      <c r="V67" s="205"/>
      <c r="W67" s="205"/>
      <c r="X67" s="205"/>
      <c r="Y67" s="205"/>
      <c r="Z67" s="205"/>
      <c r="AA67" s="205"/>
      <c r="AB67" s="205"/>
    </row>
    <row r="68" spans="21:28" ht="15">
      <c r="U68" s="205"/>
      <c r="V68" s="205"/>
      <c r="W68" s="205"/>
      <c r="X68" s="205"/>
      <c r="Y68" s="205"/>
      <c r="Z68" s="205"/>
      <c r="AA68" s="205"/>
      <c r="AB68" s="205"/>
    </row>
    <row r="69" spans="21:28" ht="15">
      <c r="U69" s="205"/>
      <c r="V69" s="205"/>
      <c r="W69" s="205"/>
      <c r="X69" s="205"/>
      <c r="Y69" s="205"/>
      <c r="Z69" s="205"/>
      <c r="AA69" s="205"/>
      <c r="AB69" s="205"/>
    </row>
    <row r="70" spans="21:28" ht="15">
      <c r="U70" s="205"/>
      <c r="V70" s="205"/>
      <c r="W70" s="205"/>
      <c r="X70" s="205"/>
      <c r="Y70" s="205"/>
      <c r="Z70" s="205"/>
      <c r="AA70" s="205"/>
      <c r="AB70" s="205"/>
    </row>
    <row r="71" spans="21:28" ht="15">
      <c r="U71" s="205"/>
      <c r="V71" s="205"/>
      <c r="W71" s="205"/>
      <c r="X71" s="205"/>
      <c r="Y71" s="205"/>
      <c r="Z71" s="205"/>
      <c r="AA71" s="205"/>
      <c r="AB71" s="205"/>
    </row>
    <row r="72" spans="21:28" ht="15">
      <c r="U72" s="205"/>
      <c r="V72" s="205"/>
      <c r="W72" s="205"/>
      <c r="X72" s="205"/>
      <c r="Y72" s="205"/>
      <c r="Z72" s="205"/>
      <c r="AA72" s="205"/>
      <c r="AB72" s="205"/>
    </row>
    <row r="73" spans="21:28" ht="15">
      <c r="U73" s="209"/>
      <c r="V73" s="205"/>
      <c r="W73" s="205"/>
      <c r="X73" s="205"/>
      <c r="Y73" s="205"/>
      <c r="Z73" s="205"/>
      <c r="AA73" s="205"/>
      <c r="AB73" s="205"/>
    </row>
    <row r="74" spans="21:28" ht="15">
      <c r="U74" s="205"/>
      <c r="V74" s="205"/>
      <c r="W74" s="205"/>
      <c r="X74" s="205"/>
      <c r="Y74" s="205"/>
      <c r="Z74" s="205"/>
      <c r="AA74" s="205"/>
      <c r="AB74" s="205"/>
    </row>
    <row r="75" spans="21:28" ht="15">
      <c r="U75" s="205"/>
      <c r="V75" s="205"/>
      <c r="W75" s="205"/>
      <c r="X75" s="205"/>
      <c r="Y75" s="205"/>
      <c r="Z75" s="205"/>
      <c r="AA75" s="205"/>
      <c r="AB75" s="205"/>
    </row>
  </sheetData>
  <sheetProtection/>
  <mergeCells count="5">
    <mergeCell ref="A1:C1"/>
    <mergeCell ref="I1:K1"/>
    <mergeCell ref="E1:G1"/>
    <mergeCell ref="M1:O1"/>
    <mergeCell ref="Q1:S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6.8515625" style="0" customWidth="1"/>
    <col min="2" max="2" width="30.421875" style="0" customWidth="1"/>
    <col min="3" max="3" width="26.57421875" style="0" customWidth="1"/>
    <col min="4" max="4" width="15.00390625" style="0" customWidth="1"/>
    <col min="5" max="5" width="12.7109375" style="0" customWidth="1"/>
    <col min="6" max="6" width="18.421875" style="0" customWidth="1"/>
    <col min="7" max="7" width="14.140625" style="0" customWidth="1"/>
    <col min="8" max="8" width="27.140625" style="0" customWidth="1"/>
    <col min="9" max="9" width="15.28125" style="0" customWidth="1"/>
    <col min="10" max="10" width="20.7109375" style="0" customWidth="1"/>
    <col min="11" max="11" width="14.421875" style="0" customWidth="1"/>
    <col min="12" max="12" width="16.00390625" style="0" customWidth="1"/>
    <col min="13" max="13" width="16.421875" style="6" customWidth="1"/>
    <col min="14" max="14" width="21.57421875" style="0" customWidth="1"/>
    <col min="15" max="15" width="16.8515625" style="0" customWidth="1"/>
    <col min="16" max="16" width="16.00390625" style="0" customWidth="1"/>
    <col min="17" max="17" width="14.140625" style="0" customWidth="1"/>
    <col min="18" max="22" width="19.421875" style="0" customWidth="1"/>
  </cols>
  <sheetData>
    <row r="1" spans="2:22" s="1" customFormat="1" ht="12.75">
      <c r="B1" t="s">
        <v>43</v>
      </c>
      <c r="C1" s="11" t="s">
        <v>25</v>
      </c>
      <c r="D1" s="11" t="s">
        <v>28</v>
      </c>
      <c r="E1" t="s">
        <v>62</v>
      </c>
      <c r="F1" t="s">
        <v>10</v>
      </c>
      <c r="G1" t="s">
        <v>11</v>
      </c>
      <c r="H1" t="s">
        <v>0</v>
      </c>
      <c r="I1" t="s">
        <v>53</v>
      </c>
      <c r="J1" t="s">
        <v>48</v>
      </c>
      <c r="K1" t="s">
        <v>41</v>
      </c>
      <c r="L1" s="11" t="s">
        <v>54</v>
      </c>
      <c r="M1" t="s">
        <v>7</v>
      </c>
      <c r="N1" s="11" t="s">
        <v>24</v>
      </c>
      <c r="O1" s="11" t="s">
        <v>13</v>
      </c>
      <c r="P1" t="s">
        <v>61</v>
      </c>
      <c r="Q1" s="11" t="s">
        <v>29</v>
      </c>
      <c r="R1" s="11" t="s">
        <v>19</v>
      </c>
      <c r="S1" s="1" t="s">
        <v>56</v>
      </c>
      <c r="T1" s="1" t="s">
        <v>47</v>
      </c>
      <c r="U1" s="1" t="s">
        <v>15</v>
      </c>
      <c r="V1" s="1" t="s">
        <v>49</v>
      </c>
    </row>
    <row r="2" spans="1:22" ht="12.75">
      <c r="A2" t="s">
        <v>140</v>
      </c>
      <c r="B2" t="str">
        <f>input_geslacht</f>
        <v>Man</v>
      </c>
      <c r="C2" s="8">
        <f>input_geboortedatum</f>
        <v>27929</v>
      </c>
      <c r="D2" s="4">
        <f>input_datum_in_dienst</f>
        <v>42979</v>
      </c>
      <c r="E2">
        <f>INPUT!D2</f>
        <v>4663.71</v>
      </c>
      <c r="F2">
        <f>input_parttime_percentage</f>
        <v>50</v>
      </c>
      <c r="G2">
        <f>input_fulltime_salaris</f>
        <v>60441.68</v>
      </c>
      <c r="H2" t="str">
        <f>input_burgerlijkestaat</f>
        <v>Alleenstaand</v>
      </c>
      <c r="I2">
        <f>INPUT!H2</f>
      </c>
      <c r="J2" s="8">
        <f>INPUT!I2</f>
        <v>25451</v>
      </c>
      <c r="K2">
        <f>INPUT!J2</f>
        <v>0</v>
      </c>
      <c r="L2" s="8">
        <f>INPUT!K2</f>
        <v>43914.5601034566</v>
      </c>
      <c r="M2" t="str">
        <f>INPUT!L2</f>
        <v>16030</v>
      </c>
      <c r="N2">
        <f>IF(input_fulltime_salaris&gt;INPUT!AN2,INPUT!AN2,input_fulltime_salaris)</f>
        <v>60441.68</v>
      </c>
      <c r="O2">
        <f>G6</f>
        <v>22205.84</v>
      </c>
      <c r="P2">
        <f>INPUT!O2</f>
        <v>0</v>
      </c>
      <c r="Q2">
        <f>INPUT!P2</f>
        <v>68</v>
      </c>
      <c r="R2" s="8">
        <f>INPUT!Q2</f>
        <v>0</v>
      </c>
      <c r="S2" s="8">
        <f>INPUT!R2</f>
        <v>0</v>
      </c>
      <c r="T2" s="8">
        <f>INPUT!S2</f>
        <v>0</v>
      </c>
      <c r="U2" s="8">
        <f>INPUT!T2</f>
        <v>0</v>
      </c>
      <c r="V2" s="8">
        <f>INPUT!U2</f>
        <v>0</v>
      </c>
    </row>
    <row r="3" spans="1:22" ht="13.5" thickBot="1">
      <c r="A3" t="s">
        <v>96</v>
      </c>
      <c r="B3">
        <f>input_geslacht_partner</f>
      </c>
      <c r="C3" s="8">
        <f>input_geboortedatum_partner</f>
        <v>25451</v>
      </c>
      <c r="D3" s="4"/>
      <c r="J3" s="8"/>
      <c r="L3" s="8"/>
      <c r="M3"/>
      <c r="R3" s="8"/>
      <c r="S3" s="8"/>
      <c r="T3" s="8"/>
      <c r="U3" s="8"/>
      <c r="V3" s="8"/>
    </row>
    <row r="4" spans="3:22" ht="13.5" thickBot="1">
      <c r="C4" s="8"/>
      <c r="D4" s="8"/>
      <c r="F4" s="36" t="s">
        <v>21</v>
      </c>
      <c r="G4" s="37">
        <f>N2*F2/100</f>
        <v>30220.84</v>
      </c>
      <c r="J4" s="8"/>
      <c r="L4" s="35" t="s">
        <v>46</v>
      </c>
      <c r="M4" s="37">
        <f>M2*F2/100</f>
        <v>8015</v>
      </c>
      <c r="R4" s="8"/>
      <c r="S4" s="8"/>
      <c r="T4" s="8"/>
      <c r="U4" s="8"/>
      <c r="V4" s="8"/>
    </row>
    <row r="5" spans="2:22" ht="13.5" thickBot="1">
      <c r="B5" s="29" t="s">
        <v>9</v>
      </c>
      <c r="C5" s="30"/>
      <c r="D5" s="8"/>
      <c r="F5" t="s">
        <v>148</v>
      </c>
      <c r="G5">
        <f>M2*F2/100</f>
        <v>8015</v>
      </c>
      <c r="J5" s="8"/>
      <c r="L5" s="8"/>
      <c r="M5"/>
      <c r="R5" s="8"/>
      <c r="S5" s="8"/>
      <c r="T5" s="8"/>
      <c r="U5" s="8"/>
      <c r="V5" s="8"/>
    </row>
    <row r="6" spans="2:22" ht="13.5" thickBot="1">
      <c r="B6" s="31" t="s">
        <v>26</v>
      </c>
      <c r="C6" s="32">
        <f>INPUT!AN2</f>
        <v>110111</v>
      </c>
      <c r="D6" s="8"/>
      <c r="F6" s="115" t="s">
        <v>102</v>
      </c>
      <c r="G6" s="116">
        <f>G4-G5</f>
        <v>22205.84</v>
      </c>
      <c r="J6" s="8"/>
      <c r="L6" s="8"/>
      <c r="M6"/>
      <c r="R6" s="8"/>
      <c r="S6" s="8"/>
      <c r="T6" s="8"/>
      <c r="U6" s="8"/>
      <c r="V6" s="8"/>
    </row>
    <row r="7" spans="2:22" ht="12.75">
      <c r="B7" s="31" t="s">
        <v>60</v>
      </c>
      <c r="C7" s="55">
        <f>INPUT!AJ2</f>
        <v>1.16</v>
      </c>
      <c r="D7" s="8"/>
      <c r="J7" s="8"/>
      <c r="L7" s="8"/>
      <c r="M7"/>
      <c r="R7" s="8"/>
      <c r="S7" s="8"/>
      <c r="T7" s="8"/>
      <c r="U7" s="8"/>
      <c r="V7" s="8"/>
    </row>
    <row r="8" spans="2:22" ht="12.75">
      <c r="B8" s="31" t="s">
        <v>65</v>
      </c>
      <c r="C8" s="67">
        <f>INPUT!AI2/100</f>
        <v>0.2</v>
      </c>
      <c r="D8" s="8"/>
      <c r="J8" s="8"/>
      <c r="L8" s="8"/>
      <c r="M8"/>
      <c r="R8" s="8"/>
      <c r="S8" s="8"/>
      <c r="T8" s="8"/>
      <c r="U8" s="8"/>
      <c r="V8" s="8"/>
    </row>
    <row r="9" spans="2:22" ht="12.75">
      <c r="B9" s="33" t="s">
        <v>17</v>
      </c>
      <c r="C9" s="34">
        <f>input_pensioenleeftijd</f>
        <v>68</v>
      </c>
      <c r="D9" s="8"/>
      <c r="J9" s="8"/>
      <c r="L9" s="8"/>
      <c r="M9"/>
      <c r="R9" s="8"/>
      <c r="S9" s="8"/>
      <c r="T9" s="8"/>
      <c r="U9" s="8"/>
      <c r="V9" s="8"/>
    </row>
    <row r="10" spans="3:22" ht="12.75">
      <c r="C10" s="8"/>
      <c r="D10" s="8"/>
      <c r="J10" s="8"/>
      <c r="L10" s="8"/>
      <c r="M10"/>
      <c r="R10" s="8"/>
      <c r="S10" s="8"/>
      <c r="T10" s="8"/>
      <c r="U10" s="8"/>
      <c r="V10" s="8"/>
    </row>
    <row r="11" spans="3:22" ht="12.75">
      <c r="C11" s="8"/>
      <c r="D11" s="8"/>
      <c r="J11" s="8"/>
      <c r="L11" s="1"/>
      <c r="M11" s="1"/>
      <c r="R11" s="8"/>
      <c r="S11" s="8"/>
      <c r="T11" s="8"/>
      <c r="U11" s="8"/>
      <c r="V11" s="8"/>
    </row>
    <row r="12" spans="2:22" ht="12.75">
      <c r="B12" t="s">
        <v>63</v>
      </c>
      <c r="C12" s="14" t="str">
        <f>IF(H2="Alleenstaand","nee",IF(H2="Gescheiden","nee","ja"))</f>
        <v>nee</v>
      </c>
      <c r="D12" s="8" t="s">
        <v>33</v>
      </c>
      <c r="J12" s="1"/>
      <c r="K12" s="1"/>
      <c r="L12" s="1"/>
      <c r="M12" s="1"/>
      <c r="N12" s="1"/>
      <c r="O12" s="1"/>
      <c r="R12" s="8"/>
      <c r="S12" s="8"/>
      <c r="T12" s="8"/>
      <c r="U12" s="8"/>
      <c r="V12" s="8"/>
    </row>
    <row r="13" spans="2:22" ht="12.75">
      <c r="B13" t="s">
        <v>4</v>
      </c>
      <c r="C13" s="8" t="str">
        <f>IF(K2=0,"nee","ja")</f>
        <v>nee</v>
      </c>
      <c r="D13" s="8" t="s">
        <v>34</v>
      </c>
      <c r="J13" s="1"/>
      <c r="K13" s="1"/>
      <c r="L13" s="1"/>
      <c r="M13" s="1"/>
      <c r="N13" s="1"/>
      <c r="O13" s="1"/>
      <c r="R13" s="8"/>
      <c r="S13" s="8"/>
      <c r="T13" s="8"/>
      <c r="U13" s="8"/>
      <c r="V13" s="8"/>
    </row>
    <row r="14" spans="2:22" ht="12.75">
      <c r="B14" t="s">
        <v>37</v>
      </c>
      <c r="C14" s="8" t="str">
        <f>IF(H2="alleenstaand","nee",IF(H2="Gescheiden","nee","ja"))</f>
        <v>nee</v>
      </c>
      <c r="D14" s="8" t="s">
        <v>33</v>
      </c>
      <c r="J14" s="1"/>
      <c r="K14" s="1"/>
      <c r="L14" s="1"/>
      <c r="M14" s="1"/>
      <c r="N14" s="1"/>
      <c r="O14" s="1"/>
      <c r="R14" s="8"/>
      <c r="S14" s="8"/>
      <c r="T14" s="8"/>
      <c r="U14" s="8"/>
      <c r="V14" s="8"/>
    </row>
    <row r="15" spans="2:22" ht="12.75">
      <c r="B15" t="s">
        <v>18</v>
      </c>
      <c r="C15" s="14" t="str">
        <f>IF(C13="ja","ja",IF(C14="ja","ja","nee"))</f>
        <v>nee</v>
      </c>
      <c r="D15" s="8"/>
      <c r="J15" s="8"/>
      <c r="L15" s="8"/>
      <c r="M15"/>
      <c r="R15" s="8"/>
      <c r="S15" s="8"/>
      <c r="T15" s="8"/>
      <c r="U15" s="8"/>
      <c r="V15" s="8"/>
    </row>
    <row r="16" spans="3:22" ht="12.75">
      <c r="C16" s="8"/>
      <c r="D16" s="8"/>
      <c r="G16" s="180"/>
      <c r="H16" s="180"/>
      <c r="J16" s="8"/>
      <c r="L16" s="8"/>
      <c r="M16"/>
      <c r="R16" s="8"/>
      <c r="S16" s="8"/>
      <c r="T16" s="8"/>
      <c r="U16" s="8"/>
      <c r="V16" s="8"/>
    </row>
    <row r="17" spans="2:22" ht="12.75">
      <c r="B17" t="s">
        <v>66</v>
      </c>
      <c r="C17" s="68">
        <f ca="1">IF(INPUT!C2&gt;(DATE(YEAR(TODAY()),1,1)),input_datum_in_dienst,(DATE(YEAR(TODAY()),1,1)))</f>
        <v>43831</v>
      </c>
      <c r="D17" s="8">
        <f>DATE(YEAR(C17),MONTH(1),DAY(1))</f>
        <v>43831</v>
      </c>
      <c r="G17" s="16"/>
      <c r="J17" s="8"/>
      <c r="L17" s="8"/>
      <c r="M17"/>
      <c r="R17" s="8"/>
      <c r="S17" s="8"/>
      <c r="T17" s="8"/>
      <c r="U17" s="8"/>
      <c r="V17" s="8"/>
    </row>
    <row r="18" spans="2:22" ht="12.75">
      <c r="B18" t="s">
        <v>30</v>
      </c>
      <c r="C18" s="4">
        <f>IF(C24&gt;D17,C25,D17)</f>
        <v>43831</v>
      </c>
      <c r="D18" s="8"/>
      <c r="G18" s="16"/>
      <c r="J18" s="8"/>
      <c r="L18" s="8"/>
      <c r="M18"/>
      <c r="R18" s="8"/>
      <c r="S18" s="8"/>
      <c r="T18" s="8"/>
      <c r="U18" s="8"/>
      <c r="V18" s="8"/>
    </row>
    <row r="19" spans="2:22" ht="12.75">
      <c r="B19" t="s">
        <v>5</v>
      </c>
      <c r="C19" s="9">
        <f>(C18-C2)/365.25</f>
        <v>43.53730321697468</v>
      </c>
      <c r="D19" s="1">
        <f>(C18-C3)/365.25</f>
        <v>50.32169746748802</v>
      </c>
      <c r="G19" s="16"/>
      <c r="J19" s="8"/>
      <c r="L19" s="8"/>
      <c r="M19"/>
      <c r="R19" s="8"/>
      <c r="S19" s="8"/>
      <c r="T19" s="8"/>
      <c r="U19" s="8"/>
      <c r="V19" s="8"/>
    </row>
    <row r="20" spans="2:22" ht="12.75">
      <c r="B20" t="s">
        <v>44</v>
      </c>
      <c r="C20" s="9">
        <f>(D17-C2)/365.25</f>
        <v>43.53730321697468</v>
      </c>
      <c r="D20" s="8"/>
      <c r="J20" s="8"/>
      <c r="L20" s="8"/>
      <c r="M20"/>
      <c r="R20" s="8"/>
      <c r="S20" s="8"/>
      <c r="T20" s="8"/>
      <c r="U20" s="8"/>
      <c r="V20" s="8"/>
    </row>
    <row r="21" spans="2:22" ht="12.75">
      <c r="B21" t="s">
        <v>42</v>
      </c>
      <c r="C21" s="9">
        <f>IF(C24&gt;D17,C19,C20)</f>
        <v>43.53730321697468</v>
      </c>
      <c r="D21" s="8"/>
      <c r="J21" s="8"/>
      <c r="L21" s="8"/>
      <c r="M21"/>
      <c r="R21" s="8"/>
      <c r="S21" s="8"/>
      <c r="T21" s="8"/>
      <c r="U21" s="8"/>
      <c r="V21" s="8"/>
    </row>
    <row r="22" spans="2:22" ht="12.75">
      <c r="B22" t="s">
        <v>17</v>
      </c>
      <c r="C22" s="28">
        <f>C9</f>
        <v>68</v>
      </c>
      <c r="D22" s="8"/>
      <c r="J22" s="8"/>
      <c r="L22" s="1"/>
      <c r="M22" s="1"/>
      <c r="N22" s="1"/>
      <c r="R22" s="8"/>
      <c r="S22" s="8"/>
      <c r="T22" s="8"/>
      <c r="U22" s="8"/>
      <c r="V22" s="8"/>
    </row>
    <row r="23" spans="2:22" ht="12.75">
      <c r="B23" t="s">
        <v>45</v>
      </c>
      <c r="C23" s="4">
        <f>DATE(YEAR(C2)+C22,MONTH(C2),1)</f>
        <v>52749</v>
      </c>
      <c r="D23" s="8"/>
      <c r="J23" s="8"/>
      <c r="L23" s="1"/>
      <c r="M23" s="1"/>
      <c r="N23" s="1"/>
      <c r="R23" s="8"/>
      <c r="S23" s="8"/>
      <c r="T23" s="8"/>
      <c r="U23" s="8"/>
      <c r="V23" s="8"/>
    </row>
    <row r="24" spans="2:22" ht="12.75">
      <c r="B24" t="s">
        <v>6</v>
      </c>
      <c r="C24" s="4">
        <f>input_datum_in_dienst</f>
        <v>42979</v>
      </c>
      <c r="J24" s="8"/>
      <c r="L24" s="1"/>
      <c r="M24" s="1"/>
      <c r="N24" s="1"/>
      <c r="R24" s="8"/>
      <c r="S24" s="8"/>
      <c r="T24" s="8"/>
      <c r="U24" s="8"/>
      <c r="V24" s="8"/>
    </row>
    <row r="25" spans="2:22" ht="12.75">
      <c r="B25" t="s">
        <v>8</v>
      </c>
      <c r="C25" s="8">
        <f>IF(DAY(C24)&gt;1,DATE(YEAR(C24),MONTH(C24),DAY(1)),DATE(YEAR(C24),MONTH(C24),DAY(1)))</f>
        <v>42979</v>
      </c>
      <c r="D25" s="8"/>
      <c r="J25" s="8"/>
      <c r="L25" s="1"/>
      <c r="M25" s="1"/>
      <c r="N25" s="1"/>
      <c r="R25" s="8"/>
      <c r="S25" s="8"/>
      <c r="T25" s="8"/>
      <c r="U25" s="8"/>
      <c r="V25" s="8"/>
    </row>
    <row r="26" spans="2:22" ht="12.75">
      <c r="B26" t="s">
        <v>190</v>
      </c>
      <c r="C26" s="258">
        <f>input_waardeoverdracht</f>
        <v>0</v>
      </c>
      <c r="D26" s="8"/>
      <c r="J26" s="8"/>
      <c r="L26" s="1"/>
      <c r="M26" s="1"/>
      <c r="N26" s="1"/>
      <c r="R26" s="8"/>
      <c r="S26" s="8"/>
      <c r="T26" s="8"/>
      <c r="U26" s="8"/>
      <c r="V26" s="8"/>
    </row>
    <row r="27" spans="2:22" ht="12.75">
      <c r="B27" t="s">
        <v>64</v>
      </c>
      <c r="C27" s="5">
        <f>DAYS360(C25,C23,TRUE)/360+C26</f>
        <v>26.75</v>
      </c>
      <c r="D27" s="1">
        <f>C7</f>
        <v>1.16</v>
      </c>
      <c r="E27">
        <f>C27*D27</f>
        <v>31.029999999999998</v>
      </c>
      <c r="F27" s="39">
        <f>E27*C30/100</f>
        <v>6890.472151999999</v>
      </c>
      <c r="J27" s="1"/>
      <c r="L27" s="1"/>
      <c r="M27" s="1"/>
      <c r="N27" s="1"/>
      <c r="R27" s="8"/>
      <c r="S27" s="8"/>
      <c r="T27" s="8"/>
      <c r="U27" s="8"/>
      <c r="V27" s="8"/>
    </row>
    <row r="28" spans="2:22" ht="12.75">
      <c r="B28" t="s">
        <v>20</v>
      </c>
      <c r="C28" s="1">
        <f>C7</f>
        <v>1.16</v>
      </c>
      <c r="D28" s="8"/>
      <c r="J28" s="1"/>
      <c r="K28" s="1"/>
      <c r="L28" s="1"/>
      <c r="M28" s="1"/>
      <c r="N28" s="1"/>
      <c r="R28" s="8"/>
      <c r="S28" s="8"/>
      <c r="T28" s="8"/>
      <c r="U28" s="8"/>
      <c r="V28" s="8"/>
    </row>
    <row r="29" spans="2:22" ht="12.75">
      <c r="B29" t="s">
        <v>36</v>
      </c>
      <c r="C29" s="12">
        <f>(MIN(C6,G2)-M2)</f>
        <v>44411.68</v>
      </c>
      <c r="D29" s="8"/>
      <c r="J29" s="1"/>
      <c r="K29" s="1"/>
      <c r="L29" s="1"/>
      <c r="M29" s="1"/>
      <c r="N29" s="1"/>
      <c r="R29" s="8"/>
      <c r="S29" s="8"/>
      <c r="T29" s="8"/>
      <c r="U29" s="8"/>
      <c r="V29" s="8"/>
    </row>
    <row r="30" spans="2:22" ht="13.5" thickBot="1">
      <c r="B30" t="s">
        <v>16</v>
      </c>
      <c r="C30" s="38">
        <f>(MIN(C6,G4)-M4)</f>
        <v>22205.84</v>
      </c>
      <c r="D30" s="8"/>
      <c r="J30" s="1"/>
      <c r="K30" s="1"/>
      <c r="L30" s="1"/>
      <c r="M30" s="1"/>
      <c r="N30" s="1"/>
      <c r="R30" s="8"/>
      <c r="S30" s="8"/>
      <c r="T30" s="8"/>
      <c r="U30" s="8"/>
      <c r="V30" s="8"/>
    </row>
    <row r="31" spans="2:22" ht="13.5" thickBot="1">
      <c r="B31" t="s">
        <v>22</v>
      </c>
      <c r="C31" s="257">
        <f>C27*C28*C30/100</f>
        <v>6890.472151999999</v>
      </c>
      <c r="D31" s="1">
        <v>7739.29</v>
      </c>
      <c r="E31">
        <f>D31/C31</f>
        <v>1.1231871821372394</v>
      </c>
      <c r="G31" s="15">
        <f>IF($C$12="ja",C31,0)</f>
        <v>0</v>
      </c>
      <c r="J31" s="1"/>
      <c r="K31" s="1"/>
      <c r="L31" s="1"/>
      <c r="M31" s="1"/>
      <c r="N31" s="1"/>
      <c r="R31" s="8"/>
      <c r="S31" s="8"/>
      <c r="T31" s="8"/>
      <c r="U31" s="8"/>
      <c r="V31" s="8"/>
    </row>
    <row r="32" spans="1:22" ht="13.5" thickBot="1">
      <c r="A32" s="218" t="s">
        <v>176</v>
      </c>
      <c r="B32" s="256">
        <f>input_bepaalde_partner</f>
        <v>0</v>
      </c>
      <c r="C32" s="219">
        <f>IF(input_burgerlijkestaat="Alleenstaand",0,rekenen!C31)</f>
        <v>0</v>
      </c>
      <c r="D32" s="1"/>
      <c r="G32" s="217"/>
      <c r="J32" s="1"/>
      <c r="K32" s="1"/>
      <c r="L32" s="1"/>
      <c r="M32" s="1"/>
      <c r="N32" s="1"/>
      <c r="R32" s="8"/>
      <c r="S32" s="8"/>
      <c r="T32" s="8"/>
      <c r="U32" s="8"/>
      <c r="V32" s="8"/>
    </row>
    <row r="33" spans="2:22" ht="12.75">
      <c r="B33" t="s">
        <v>135</v>
      </c>
      <c r="C33" s="6">
        <v>0</v>
      </c>
      <c r="D33" s="8" t="s">
        <v>58</v>
      </c>
      <c r="E33" t="s">
        <v>3</v>
      </c>
      <c r="J33" s="1"/>
      <c r="K33" s="1"/>
      <c r="L33" s="1"/>
      <c r="M33" s="1"/>
      <c r="N33" s="1"/>
      <c r="R33" s="8"/>
      <c r="S33" s="8"/>
      <c r="T33" s="8"/>
      <c r="U33" s="8"/>
      <c r="V33" s="8"/>
    </row>
    <row r="34" spans="2:22" ht="12.75">
      <c r="B34" t="s">
        <v>31</v>
      </c>
      <c r="D34" s="1">
        <f>FLOOR(C21,1)</f>
        <v>43</v>
      </c>
      <c r="J34" s="1"/>
      <c r="K34" s="1"/>
      <c r="L34" s="1"/>
      <c r="M34" s="1"/>
      <c r="N34" s="1"/>
      <c r="R34" s="8"/>
      <c r="S34" s="8"/>
      <c r="T34" s="8"/>
      <c r="U34" s="8"/>
      <c r="V34" s="8"/>
    </row>
    <row r="35" spans="4:22" ht="12.75">
      <c r="D35" s="1">
        <f>CEILING(C21,1)</f>
        <v>44</v>
      </c>
      <c r="J35" s="8"/>
      <c r="L35" s="1"/>
      <c r="M35" s="1"/>
      <c r="N35" s="1"/>
      <c r="R35" s="8"/>
      <c r="S35" s="8"/>
      <c r="T35" s="8"/>
      <c r="U35" s="8"/>
      <c r="V35" s="8"/>
    </row>
    <row r="36" spans="3:22" ht="12.75">
      <c r="C36" t="s">
        <v>51</v>
      </c>
      <c r="D36" s="1">
        <f>C21</f>
        <v>43.53730321697468</v>
      </c>
      <c r="E36" s="25"/>
      <c r="J36" s="8"/>
      <c r="L36" s="1"/>
      <c r="M36" s="1"/>
      <c r="N36" s="1"/>
      <c r="R36" s="8"/>
      <c r="S36" s="8"/>
      <c r="T36" s="8"/>
      <c r="U36" s="8"/>
      <c r="V36" s="8"/>
    </row>
    <row r="37" spans="4:22" ht="12.75">
      <c r="D37" s="8"/>
      <c r="J37" s="8"/>
      <c r="L37" s="1"/>
      <c r="M37" s="1"/>
      <c r="N37" s="1"/>
      <c r="R37" s="8"/>
      <c r="S37" s="8"/>
      <c r="T37" s="8"/>
      <c r="U37" s="8"/>
      <c r="V37" s="8"/>
    </row>
    <row r="38" spans="2:22" ht="12.75">
      <c r="B38" t="s">
        <v>38</v>
      </c>
      <c r="C38" s="7"/>
      <c r="D38" s="8" t="s">
        <v>52</v>
      </c>
      <c r="G38" s="15">
        <f>IF($C$12="ja",C38,0)</f>
        <v>0</v>
      </c>
      <c r="H38">
        <f>G38/12</f>
        <v>0</v>
      </c>
      <c r="J38" s="8"/>
      <c r="L38" s="178"/>
      <c r="M38" s="1"/>
      <c r="N38" s="1"/>
      <c r="R38" s="8"/>
      <c r="S38" s="8"/>
      <c r="T38" s="8"/>
      <c r="U38" s="8"/>
      <c r="V38" s="8"/>
    </row>
    <row r="39" spans="3:22" ht="12.75">
      <c r="C39" s="6"/>
      <c r="D39" s="8"/>
      <c r="J39" s="8"/>
      <c r="L39" s="12"/>
      <c r="M39"/>
      <c r="R39" s="8"/>
      <c r="S39" s="8"/>
      <c r="T39" s="8"/>
      <c r="U39" s="8"/>
      <c r="V39" s="8"/>
    </row>
    <row r="40" spans="2:22" ht="13.5" thickBot="1">
      <c r="B40" s="19"/>
      <c r="C40" s="19"/>
      <c r="D40" s="20"/>
      <c r="E40" s="19"/>
      <c r="F40" s="19"/>
      <c r="G40" s="19"/>
      <c r="H40" s="19"/>
      <c r="J40" s="8"/>
      <c r="L40" s="8"/>
      <c r="M40"/>
      <c r="R40" s="8"/>
      <c r="S40" s="8"/>
      <c r="T40" s="8"/>
      <c r="U40" s="8"/>
      <c r="V40" s="8"/>
    </row>
    <row r="41" spans="4:22" ht="13.5" thickBot="1">
      <c r="D41" s="8"/>
      <c r="F41" s="69" t="s">
        <v>128</v>
      </c>
      <c r="G41" s="70"/>
      <c r="H41" s="71"/>
      <c r="J41" s="8"/>
      <c r="L41" s="8"/>
      <c r="M41"/>
      <c r="R41" s="8"/>
      <c r="S41" s="8"/>
      <c r="T41" s="8"/>
      <c r="U41" s="8"/>
      <c r="V41" s="8"/>
    </row>
    <row r="42" spans="2:22" ht="13.5" thickBot="1">
      <c r="B42" s="222" t="s">
        <v>59</v>
      </c>
      <c r="C42" s="220">
        <f>C8*C31</f>
        <v>1378.0944304</v>
      </c>
      <c r="D42" s="8"/>
      <c r="F42" s="72">
        <f>H50</f>
        <v>0</v>
      </c>
      <c r="G42" s="73">
        <f>IF($C$15="ja",C43,0)</f>
        <v>0</v>
      </c>
      <c r="H42" s="74">
        <f>F42*G42</f>
        <v>0</v>
      </c>
      <c r="J42" s="8"/>
      <c r="L42" s="8"/>
      <c r="M42"/>
      <c r="R42" s="8"/>
      <c r="S42" s="8"/>
      <c r="T42" s="8"/>
      <c r="U42" s="8"/>
      <c r="V42" s="8"/>
    </row>
    <row r="43" spans="3:22" ht="13.5" thickBot="1">
      <c r="C43" s="221">
        <f>IF(INPUT!J2=0,0,C42)</f>
        <v>0</v>
      </c>
      <c r="D43" s="8"/>
      <c r="F43" t="s">
        <v>129</v>
      </c>
      <c r="J43" s="8"/>
      <c r="L43" s="8"/>
      <c r="M43"/>
      <c r="R43" s="8"/>
      <c r="S43" s="8"/>
      <c r="T43" s="8"/>
      <c r="U43" s="8"/>
      <c r="V43" s="8"/>
    </row>
    <row r="44" spans="2:22" ht="12.75">
      <c r="B44" s="10"/>
      <c r="C44" s="12"/>
      <c r="D44" s="8"/>
      <c r="F44" s="21">
        <f>INPUT!AH2</f>
        <v>18</v>
      </c>
      <c r="J44" s="8"/>
      <c r="L44" s="8"/>
      <c r="M44"/>
      <c r="R44" s="8"/>
      <c r="S44" s="8"/>
      <c r="T44" s="8"/>
      <c r="U44" s="8"/>
      <c r="V44" s="8"/>
    </row>
    <row r="45" spans="2:22" ht="12.75">
      <c r="B45" s="10"/>
      <c r="C45" s="10"/>
      <c r="D45" s="8"/>
      <c r="E45" t="s">
        <v>130</v>
      </c>
      <c r="F45" s="8">
        <f>input_geboortedatum_k1</f>
        <v>0</v>
      </c>
      <c r="G45">
        <f>($C$17-F45)/365.25</f>
        <v>120.00273785078713</v>
      </c>
      <c r="H45">
        <f>IF(G45&lt;$F$44,1,0)</f>
        <v>0</v>
      </c>
      <c r="J45" s="8"/>
      <c r="L45" s="8"/>
      <c r="M45"/>
      <c r="R45" s="8"/>
      <c r="S45" s="8"/>
      <c r="T45" s="8"/>
      <c r="U45" s="8"/>
      <c r="V45" s="8"/>
    </row>
    <row r="46" spans="2:22" ht="12.75">
      <c r="B46" s="10"/>
      <c r="C46" s="10"/>
      <c r="D46" s="8"/>
      <c r="E46" t="s">
        <v>131</v>
      </c>
      <c r="F46" s="8">
        <f>input_geboortedatum_k2</f>
        <v>0</v>
      </c>
      <c r="G46">
        <f>($C$17-F46)/365.25</f>
        <v>120.00273785078713</v>
      </c>
      <c r="H46">
        <f>IF(G46&lt;$F$44,1,0)</f>
        <v>0</v>
      </c>
      <c r="J46" s="8"/>
      <c r="L46" s="8"/>
      <c r="M46"/>
      <c r="R46" s="8"/>
      <c r="S46" s="8"/>
      <c r="T46" s="8"/>
      <c r="U46" s="8"/>
      <c r="V46" s="8"/>
    </row>
    <row r="47" spans="2:22" ht="12.75">
      <c r="B47" s="10"/>
      <c r="C47" s="10"/>
      <c r="D47" s="8"/>
      <c r="E47" t="s">
        <v>132</v>
      </c>
      <c r="F47" s="8">
        <f>input_geboortedatum_k3</f>
        <v>0</v>
      </c>
      <c r="G47">
        <f>($C$17-F47)/365.25</f>
        <v>120.00273785078713</v>
      </c>
      <c r="H47">
        <f>IF(G47&lt;$F$44,1,0)</f>
        <v>0</v>
      </c>
      <c r="J47" s="8"/>
      <c r="L47" s="8"/>
      <c r="M47"/>
      <c r="R47" s="8"/>
      <c r="S47" s="8"/>
      <c r="T47" s="8"/>
      <c r="U47" s="8"/>
      <c r="V47" s="8"/>
    </row>
    <row r="48" spans="2:22" ht="12.75">
      <c r="B48" s="10"/>
      <c r="C48" s="13"/>
      <c r="D48" s="8"/>
      <c r="E48" t="s">
        <v>133</v>
      </c>
      <c r="F48" s="8">
        <f>input_geboortedatum_k4</f>
        <v>0</v>
      </c>
      <c r="G48">
        <f>($C$17-F48)/365.25</f>
        <v>120.00273785078713</v>
      </c>
      <c r="H48">
        <f>IF(G48&lt;$F$44,1,0)</f>
        <v>0</v>
      </c>
      <c r="J48" s="8"/>
      <c r="L48" s="8"/>
      <c r="M48"/>
      <c r="R48" s="8"/>
      <c r="S48" s="8"/>
      <c r="T48" s="8"/>
      <c r="U48" s="8"/>
      <c r="V48" s="8"/>
    </row>
    <row r="49" spans="2:22" ht="13.5" thickBot="1">
      <c r="B49" s="10"/>
      <c r="D49" s="8"/>
      <c r="E49" t="s">
        <v>134</v>
      </c>
      <c r="F49" s="8">
        <f>input_geboortedatum_k5</f>
        <v>0</v>
      </c>
      <c r="G49">
        <f>($C$17-F49)/365.25</f>
        <v>120.00273785078713</v>
      </c>
      <c r="H49">
        <f>IF(G49&lt;$F$44,1,0)</f>
        <v>0</v>
      </c>
      <c r="J49" s="8"/>
      <c r="L49" s="8"/>
      <c r="M49"/>
      <c r="R49" s="8"/>
      <c r="S49" s="8"/>
      <c r="T49" s="8"/>
      <c r="U49" s="8"/>
      <c r="V49" s="8"/>
    </row>
    <row r="50" spans="2:22" ht="13.5" thickBot="1">
      <c r="B50" s="10"/>
      <c r="C50" s="1"/>
      <c r="D50" s="8"/>
      <c r="H50" s="80">
        <f>SUM(H45:H49)</f>
        <v>0</v>
      </c>
      <c r="J50" s="8"/>
      <c r="L50" s="8"/>
      <c r="M50"/>
      <c r="R50" s="8"/>
      <c r="S50" s="8"/>
      <c r="T50" s="8"/>
      <c r="U50" s="8"/>
      <c r="V50" s="8"/>
    </row>
    <row r="51" spans="2:22" ht="12.75">
      <c r="B51" s="10"/>
      <c r="C51" s="1"/>
      <c r="D51" s="8"/>
      <c r="J51" s="8"/>
      <c r="L51" s="8"/>
      <c r="M51"/>
      <c r="R51" s="8"/>
      <c r="S51" s="8"/>
      <c r="T51" s="8"/>
      <c r="U51" s="8"/>
      <c r="V51" s="8"/>
    </row>
    <row r="52" spans="2:3" ht="12.75">
      <c r="B52" s="10"/>
      <c r="C52" s="10"/>
    </row>
    <row r="53" spans="2:14" s="3" customFormat="1" ht="15">
      <c r="B53" s="10"/>
      <c r="C53" s="26"/>
      <c r="D53" s="24"/>
      <c r="G53" s="15"/>
      <c r="H53"/>
      <c r="I53" s="17"/>
      <c r="N53" s="18"/>
    </row>
    <row r="54" spans="2:14" s="3" customFormat="1" ht="15">
      <c r="B54" s="10"/>
      <c r="C54" s="6"/>
      <c r="G54"/>
      <c r="I54" s="17"/>
      <c r="N54" s="18"/>
    </row>
    <row r="55" spans="2:14" s="3" customFormat="1" ht="15.75" thickBot="1">
      <c r="B55" s="22"/>
      <c r="C55" s="19"/>
      <c r="D55" s="23"/>
      <c r="E55" s="23"/>
      <c r="F55" s="23"/>
      <c r="G55" s="19"/>
      <c r="H55" s="23"/>
      <c r="I55" s="17"/>
      <c r="N55" s="18"/>
    </row>
    <row r="56" ht="12.75">
      <c r="B56" s="10"/>
    </row>
    <row r="58" ht="12.75">
      <c r="C58" s="2"/>
    </row>
    <row r="59" ht="12.75">
      <c r="H59">
        <f>H38+H53</f>
        <v>0</v>
      </c>
    </row>
    <row r="63" ht="12.75">
      <c r="C63" s="27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12" ht="12.75">
      <c r="B74" s="10"/>
      <c r="C74" s="10"/>
      <c r="L74" s="1"/>
    </row>
    <row r="75" spans="2:3" ht="12.75">
      <c r="B75" s="10"/>
      <c r="C75" s="10"/>
    </row>
    <row r="76" spans="2:3" ht="13.5" thickBot="1">
      <c r="B76" s="10"/>
      <c r="C76" s="10"/>
    </row>
  </sheetData>
  <sheetProtection/>
  <printOptions/>
  <pageMargins left="0.7" right="0.7" top="0.75" bottom="0.75" header="0.3" footer="0.3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18.8515625" style="0" bestFit="1" customWidth="1"/>
    <col min="2" max="3" width="18.8515625" style="0" customWidth="1"/>
    <col min="4" max="4" width="18.00390625" style="0" bestFit="1" customWidth="1"/>
    <col min="5" max="5" width="18.00390625" style="0" customWidth="1"/>
    <col min="6" max="6" width="6.421875" style="0" customWidth="1"/>
    <col min="7" max="7" width="8.57421875" style="0" customWidth="1"/>
    <col min="8" max="8" width="4.8515625" style="0" customWidth="1"/>
    <col min="9" max="9" width="5.421875" style="0" customWidth="1"/>
    <col min="10" max="14" width="18.00390625" style="0" customWidth="1"/>
    <col min="15" max="15" width="14.7109375" style="0" bestFit="1" customWidth="1"/>
    <col min="16" max="16" width="9.28125" style="0" bestFit="1" customWidth="1"/>
    <col min="17" max="17" width="15.00390625" style="0" bestFit="1" customWidth="1"/>
    <col min="18" max="18" width="15.00390625" style="0" customWidth="1"/>
    <col min="19" max="19" width="12.28125" style="0" customWidth="1"/>
    <col min="20" max="20" width="8.57421875" style="0" bestFit="1" customWidth="1"/>
    <col min="21" max="21" width="30.140625" style="0" bestFit="1" customWidth="1"/>
    <col min="22" max="22" width="5.57421875" style="0" bestFit="1" customWidth="1"/>
  </cols>
  <sheetData>
    <row r="1" spans="23:24" ht="13.5" thickBot="1">
      <c r="W1" s="12"/>
      <c r="X1" s="12"/>
    </row>
    <row r="2" spans="1:24" ht="13.5" thickBot="1">
      <c r="A2" t="s">
        <v>124</v>
      </c>
      <c r="B2" s="65">
        <f ca="1">IF(input_datum_in_dienst&gt;(DATE(YEAR(TODAY()),1,1)),input_datum_in_dienst,(DATE(YEAR(TODAY()),1,1)))</f>
        <v>43831</v>
      </c>
      <c r="C2" t="s">
        <v>103</v>
      </c>
      <c r="D2" t="s">
        <v>122</v>
      </c>
      <c r="F2" t="s">
        <v>123</v>
      </c>
      <c r="G2" s="66">
        <v>12</v>
      </c>
      <c r="J2" t="s">
        <v>125</v>
      </c>
      <c r="L2" t="s">
        <v>126</v>
      </c>
      <c r="N2" t="s">
        <v>127</v>
      </c>
      <c r="O2" t="s">
        <v>104</v>
      </c>
      <c r="P2" t="s">
        <v>97</v>
      </c>
      <c r="Q2" t="s">
        <v>105</v>
      </c>
      <c r="S2" t="s">
        <v>105</v>
      </c>
      <c r="W2" s="12"/>
      <c r="X2" s="12"/>
    </row>
    <row r="3" spans="1:24" ht="12.75">
      <c r="A3" t="s">
        <v>106</v>
      </c>
      <c r="B3" s="8">
        <f>input_geboortedatum_k1</f>
        <v>0</v>
      </c>
      <c r="C3" s="56">
        <f>(B2-B3)/365.25</f>
        <v>120.00273785078713</v>
      </c>
      <c r="D3" s="56">
        <f>ROUNDDOWN(C3,0)</f>
        <v>120</v>
      </c>
      <c r="E3" s="56">
        <f>IF(D3&gt;68,0,D3)</f>
        <v>0</v>
      </c>
      <c r="F3" s="25">
        <f>C3-D3</f>
        <v>0.002737850787127627</v>
      </c>
      <c r="G3" s="56">
        <f>F3*$G$2</f>
        <v>0.032854209445531524</v>
      </c>
      <c r="H3" s="10">
        <f>CEILING(G3,1)</f>
        <v>1</v>
      </c>
      <c r="I3" s="10">
        <f>$G$2-H3</f>
        <v>11</v>
      </c>
      <c r="J3" s="56">
        <f>VLOOKUP(D3,Blad2!I3:K20,2)</f>
        <v>9.31</v>
      </c>
      <c r="K3" s="56">
        <f>I3/$G$2*J3</f>
        <v>8.534166666666668</v>
      </c>
      <c r="L3" s="56">
        <f>VLOOKUP(D3+1,Blad2!I3:K20,2)</f>
        <v>9.31</v>
      </c>
      <c r="M3" s="56">
        <f>H3/$G$2*L3</f>
        <v>0.7758333333333334</v>
      </c>
      <c r="N3" s="56">
        <f>K3+M3</f>
        <v>9.31</v>
      </c>
      <c r="O3" s="57">
        <f>rekenen!$C$42</f>
        <v>1378.0944304</v>
      </c>
      <c r="P3" s="54"/>
      <c r="Q3" s="58">
        <f>(O3+60)*N3+230</f>
        <v>13618.659147024</v>
      </c>
      <c r="R3" s="58"/>
      <c r="S3" s="1">
        <f>IF(B3=0,0,Q3)</f>
        <v>0</v>
      </c>
      <c r="W3" s="12"/>
      <c r="X3" s="12"/>
    </row>
    <row r="4" spans="1:24" ht="12.75">
      <c r="A4" t="s">
        <v>107</v>
      </c>
      <c r="B4">
        <f>input_geboortedatum_k2</f>
        <v>0</v>
      </c>
      <c r="C4" s="56">
        <f>(rekenen!$D$17-Blad1!B4)/365.25</f>
        <v>120.00273785078713</v>
      </c>
      <c r="D4" s="56">
        <f>ROUNDDOWN(C4,0)</f>
        <v>120</v>
      </c>
      <c r="E4" s="56">
        <f>IF(D4&gt;68,0,D4)</f>
        <v>0</v>
      </c>
      <c r="F4" s="25">
        <f>C4-D4</f>
        <v>0.002737850787127627</v>
      </c>
      <c r="G4" s="56">
        <f>F4*$G$2</f>
        <v>0.032854209445531524</v>
      </c>
      <c r="H4" s="10">
        <f>CEILING(G4,1)</f>
        <v>1</v>
      </c>
      <c r="I4" s="10">
        <f>$G$2-H4</f>
        <v>11</v>
      </c>
      <c r="J4" s="56">
        <f>VLOOKUP(D4,Blad2!I4:K21,2)</f>
        <v>9.31</v>
      </c>
      <c r="K4" s="56">
        <f>I4/$G$2*J4</f>
        <v>8.534166666666668</v>
      </c>
      <c r="L4" s="56">
        <f>VLOOKUP(D4+1,Blad2!I4:K21,2)</f>
        <v>9.31</v>
      </c>
      <c r="M4" s="56">
        <f>H4/$G$2*L4</f>
        <v>0.7758333333333334</v>
      </c>
      <c r="N4" s="56">
        <f>K4+M4</f>
        <v>9.31</v>
      </c>
      <c r="O4" s="57">
        <f>rekenen!$C$42</f>
        <v>1378.0944304</v>
      </c>
      <c r="P4" s="54"/>
      <c r="Q4" s="58">
        <f>(O4+60)*N4+230</f>
        <v>13618.659147024</v>
      </c>
      <c r="R4" s="58"/>
      <c r="S4" s="1">
        <f>IF(B4=0,0,Q4)</f>
        <v>0</v>
      </c>
      <c r="W4" s="12"/>
      <c r="X4" s="12"/>
    </row>
    <row r="5" spans="1:24" ht="12.75">
      <c r="A5" t="s">
        <v>108</v>
      </c>
      <c r="B5">
        <f>input_geboortedatum_k3</f>
        <v>0</v>
      </c>
      <c r="C5" s="56">
        <f>(rekenen!$D$17-Blad1!B5)/365.25</f>
        <v>120.00273785078713</v>
      </c>
      <c r="D5" s="56">
        <f>ROUNDDOWN(C5,0)</f>
        <v>120</v>
      </c>
      <c r="E5" s="56">
        <f>IF(D5&gt;68,0,D5)</f>
        <v>0</v>
      </c>
      <c r="F5" s="25">
        <f>C5-D5</f>
        <v>0.002737850787127627</v>
      </c>
      <c r="G5" s="56">
        <f>F5*$G$2</f>
        <v>0.032854209445531524</v>
      </c>
      <c r="H5" s="10">
        <f>CEILING(G5,1)</f>
        <v>1</v>
      </c>
      <c r="I5" s="10">
        <f>$G$2-H5</f>
        <v>11</v>
      </c>
      <c r="J5" s="56">
        <f>VLOOKUP(D5,Blad2!I5:K22,2)</f>
        <v>9.31</v>
      </c>
      <c r="K5" s="56">
        <f>I5/$G$2*J5</f>
        <v>8.534166666666668</v>
      </c>
      <c r="L5" s="56">
        <f>VLOOKUP(D5+1,Blad2!I5:K22,2)</f>
        <v>9.31</v>
      </c>
      <c r="M5" s="56">
        <f>H5/$G$2*L5</f>
        <v>0.7758333333333334</v>
      </c>
      <c r="N5" s="56">
        <f>K5+M5</f>
        <v>9.31</v>
      </c>
      <c r="O5" s="57">
        <f>rekenen!$C$42</f>
        <v>1378.0944304</v>
      </c>
      <c r="P5" s="54"/>
      <c r="Q5" s="58">
        <f>(O5+60)*N5+230</f>
        <v>13618.659147024</v>
      </c>
      <c r="R5" s="58"/>
      <c r="S5" s="1">
        <f>IF(B5=0,0,Q5)</f>
        <v>0</v>
      </c>
      <c r="W5" s="12"/>
      <c r="X5" s="12"/>
    </row>
    <row r="6" spans="1:24" ht="12.75">
      <c r="A6" t="s">
        <v>117</v>
      </c>
      <c r="B6">
        <f>input_geboortedatum_k4</f>
        <v>0</v>
      </c>
      <c r="C6" s="56">
        <f>(rekenen!$D$17-Blad1!B6)/365.25</f>
        <v>120.00273785078713</v>
      </c>
      <c r="D6" s="56">
        <f>ROUNDDOWN(C6,0)</f>
        <v>120</v>
      </c>
      <c r="E6" s="56">
        <f>IF(D6&gt;68,0,D6)</f>
        <v>0</v>
      </c>
      <c r="F6" s="25">
        <f>C6-D6</f>
        <v>0.002737850787127627</v>
      </c>
      <c r="G6" s="56">
        <f>F6*$G$2</f>
        <v>0.032854209445531524</v>
      </c>
      <c r="H6" s="10">
        <f>CEILING(G6,1)</f>
        <v>1</v>
      </c>
      <c r="I6" s="10">
        <f>$G$2-H6</f>
        <v>11</v>
      </c>
      <c r="J6" s="56">
        <f>VLOOKUP(D6,Blad2!I6:K23,2)</f>
        <v>9.31</v>
      </c>
      <c r="K6" s="56">
        <f>I6/$G$2*J6</f>
        <v>8.534166666666668</v>
      </c>
      <c r="L6" s="56">
        <f>VLOOKUP(D6+1,Blad2!I6:K23,2)</f>
        <v>9.31</v>
      </c>
      <c r="M6" s="56">
        <f>H6/$G$2*L6</f>
        <v>0.7758333333333334</v>
      </c>
      <c r="N6" s="56">
        <f>K6+M6</f>
        <v>9.31</v>
      </c>
      <c r="O6">
        <f>IF(B6=0,0,O5)</f>
        <v>0</v>
      </c>
      <c r="Q6" s="58">
        <f>(O6+60)*N6+230</f>
        <v>788.6</v>
      </c>
      <c r="R6" s="58"/>
      <c r="S6" s="1">
        <f>IF(B6=0,0,Q6)</f>
        <v>0</v>
      </c>
      <c r="W6" s="12"/>
      <c r="X6" s="12"/>
    </row>
    <row r="7" spans="1:24" ht="13.5" thickBot="1">
      <c r="A7" t="s">
        <v>118</v>
      </c>
      <c r="B7">
        <f>input_geboortedatum_k5</f>
        <v>0</v>
      </c>
      <c r="C7" s="56">
        <f>(rekenen!$D$17-Blad1!B7)/365.25</f>
        <v>120.00273785078713</v>
      </c>
      <c r="D7" s="56">
        <f>ROUNDDOWN(C7,0)</f>
        <v>120</v>
      </c>
      <c r="E7" s="56">
        <f>IF(D7&gt;68,0,D7)</f>
        <v>0</v>
      </c>
      <c r="F7" s="25">
        <f>C7-D7</f>
        <v>0.002737850787127627</v>
      </c>
      <c r="G7" s="56">
        <f>F7*$G$2</f>
        <v>0.032854209445531524</v>
      </c>
      <c r="H7" s="10">
        <f>CEILING(G7,1)</f>
        <v>1</v>
      </c>
      <c r="I7" s="10">
        <f>$G$2-H7</f>
        <v>11</v>
      </c>
      <c r="J7" s="56">
        <f>VLOOKUP(D7,Blad2!I7:K24,2)</f>
        <v>9.31</v>
      </c>
      <c r="K7" s="56">
        <f>I7/$G$2*J7</f>
        <v>8.534166666666668</v>
      </c>
      <c r="L7" s="56">
        <f>VLOOKUP(D7+1,Blad2!I7:K24,2)</f>
        <v>9.31</v>
      </c>
      <c r="M7" s="56">
        <f>H7/$G$2*L7</f>
        <v>0.7758333333333334</v>
      </c>
      <c r="N7" s="56">
        <f>K7+M7</f>
        <v>9.31</v>
      </c>
      <c r="O7">
        <f>IF(B7=0,0,O5)</f>
        <v>0</v>
      </c>
      <c r="Q7" s="58">
        <f>(O7+60)*N7+230</f>
        <v>788.6</v>
      </c>
      <c r="R7" s="58"/>
      <c r="S7" s="1">
        <f>IF(B7=0,0,Q7)</f>
        <v>0</v>
      </c>
      <c r="U7" t="s">
        <v>109</v>
      </c>
      <c r="W7" s="12"/>
      <c r="X7" s="12"/>
    </row>
    <row r="8" spans="17:26" ht="13.5" thickBot="1">
      <c r="Q8" s="58"/>
      <c r="R8" s="58"/>
      <c r="S8" s="143">
        <f>SUM(S3:S7)</f>
        <v>0</v>
      </c>
      <c r="U8" s="59">
        <f>U14</f>
        <v>0</v>
      </c>
      <c r="V8">
        <v>12</v>
      </c>
      <c r="W8" s="12">
        <f>U8*V8</f>
        <v>0</v>
      </c>
      <c r="X8" s="12"/>
      <c r="Z8" s="54"/>
    </row>
    <row r="9" spans="23:26" ht="12.75">
      <c r="W9" s="12"/>
      <c r="X9" s="12"/>
      <c r="Z9" s="54"/>
    </row>
    <row r="10" spans="1:24" ht="12.75">
      <c r="A10" t="s">
        <v>110</v>
      </c>
      <c r="R10" t="s">
        <v>98</v>
      </c>
      <c r="S10" t="s">
        <v>138</v>
      </c>
      <c r="T10" t="s">
        <v>137</v>
      </c>
      <c r="W10" s="142"/>
      <c r="X10" s="12"/>
    </row>
    <row r="11" spans="1:24" ht="12.75">
      <c r="A11" t="s">
        <v>111</v>
      </c>
      <c r="Q11" t="s">
        <v>58</v>
      </c>
      <c r="R11">
        <f>VLOOKUP(Blad1!T11,Blad2!A1:K51,3)</f>
        <v>4.97</v>
      </c>
      <c r="S11">
        <f>VLOOKUP(Blad1!T11,Blad2!A1:K51,2)</f>
        <v>5.5</v>
      </c>
      <c r="T11" s="54">
        <f>T12</f>
        <v>43.61944444444445</v>
      </c>
      <c r="W11" s="12"/>
      <c r="X11" s="12"/>
    </row>
    <row r="12" spans="1:24" ht="13.5" thickBot="1">
      <c r="A12" s="8" t="s">
        <v>25</v>
      </c>
      <c r="B12" s="8"/>
      <c r="C12" s="8"/>
      <c r="D12" s="8">
        <f>input_geboortedatum</f>
        <v>27929</v>
      </c>
      <c r="E12" s="8"/>
      <c r="F12" s="8"/>
      <c r="G12" s="8"/>
      <c r="H12" s="8"/>
      <c r="I12" s="8"/>
      <c r="J12" s="8"/>
      <c r="K12" s="8"/>
      <c r="L12" s="8"/>
      <c r="M12" s="8"/>
      <c r="N12" s="8"/>
      <c r="Q12" t="s">
        <v>50</v>
      </c>
      <c r="R12">
        <f>VLOOKUP(Allianz!AG4,Blad2!A1:K51,3)</f>
        <v>4.97</v>
      </c>
      <c r="S12">
        <f>VLOOKUP(Allianz!AG4,Blad2!A1:K51,2)</f>
        <v>5.5</v>
      </c>
      <c r="T12" s="54">
        <f>Allianz!AH4</f>
        <v>43.61944444444445</v>
      </c>
      <c r="W12" s="12"/>
      <c r="X12" s="12"/>
    </row>
    <row r="13" spans="1:24" ht="13.5" thickBot="1">
      <c r="A13" t="s">
        <v>27</v>
      </c>
      <c r="D13" s="57">
        <f>input_fulltime_salaris</f>
        <v>60441.68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R13" s="140">
        <f>(R11+R12)/2</f>
        <v>4.97</v>
      </c>
      <c r="S13" s="141">
        <f>(S11+S12)/2</f>
        <v>5.5</v>
      </c>
      <c r="W13" s="12"/>
      <c r="X13" s="12"/>
    </row>
    <row r="14" spans="1:24" ht="13.5" thickBot="1">
      <c r="A14" t="s">
        <v>7</v>
      </c>
      <c r="D14" s="57" t="str">
        <f>input_franchise</f>
        <v>16030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Q14" t="s">
        <v>139</v>
      </c>
      <c r="R14" s="80">
        <f>IF(input_geslacht="Man",S13,R13)</f>
        <v>5.5</v>
      </c>
      <c r="T14" t="s">
        <v>112</v>
      </c>
      <c r="U14" s="144">
        <f>R14*S8/100000</f>
        <v>0</v>
      </c>
      <c r="W14" s="12"/>
      <c r="X14" s="12"/>
    </row>
    <row r="15" spans="1:24" ht="12.75">
      <c r="A15" t="s">
        <v>113</v>
      </c>
      <c r="D15" s="58">
        <f>D13-D14</f>
        <v>44411.68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U15" s="58"/>
      <c r="W15" s="12"/>
      <c r="X15" s="12"/>
    </row>
    <row r="16" spans="1:24" ht="13.5" thickBot="1">
      <c r="A16" t="s">
        <v>114</v>
      </c>
      <c r="D16" s="58">
        <f>D15*C17/100</f>
        <v>22205.84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U16" s="58"/>
      <c r="W16" s="12"/>
      <c r="X16" s="12"/>
    </row>
    <row r="17" spans="1:24" ht="13.5" thickBot="1">
      <c r="A17" s="36" t="s">
        <v>119</v>
      </c>
      <c r="B17" s="63"/>
      <c r="C17" s="64">
        <f>input_parttime_percentage</f>
        <v>50</v>
      </c>
      <c r="U17" s="58"/>
      <c r="W17" s="12"/>
      <c r="X17" s="12"/>
    </row>
    <row r="18" spans="23:24" ht="12.75">
      <c r="W18" s="12"/>
      <c r="X18" s="12"/>
    </row>
    <row r="19" spans="23:24" ht="12.75">
      <c r="W19" s="12"/>
      <c r="X19" s="12"/>
    </row>
    <row r="20" spans="1:24" ht="15">
      <c r="A20" s="8">
        <v>39768</v>
      </c>
      <c r="B20" s="8">
        <v>42736</v>
      </c>
      <c r="C20" t="e">
        <f>DATUMVERSCHIL</f>
        <v>#NAME?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"/>
      <c r="T20" s="61"/>
      <c r="U20" s="62"/>
      <c r="W20" s="12"/>
      <c r="X20" s="12"/>
    </row>
    <row r="21" spans="4:24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"/>
      <c r="T21" s="61"/>
      <c r="U21" s="62"/>
      <c r="W21" s="12"/>
      <c r="X21" s="12"/>
    </row>
    <row r="22" spans="4:24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"/>
      <c r="T22" s="61"/>
      <c r="U22" s="62"/>
      <c r="W22" s="12"/>
      <c r="X22" s="12"/>
    </row>
    <row r="23" spans="4:24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"/>
      <c r="T23" s="61"/>
      <c r="U23" s="62"/>
      <c r="W23" s="12"/>
      <c r="X23" s="12"/>
    </row>
    <row r="24" spans="4:24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"/>
      <c r="T24" s="61"/>
      <c r="U24" s="62"/>
      <c r="W24" s="12"/>
      <c r="X24" s="12"/>
    </row>
    <row r="25" spans="4:24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"/>
      <c r="T25" s="61"/>
      <c r="U25" s="62"/>
      <c r="W25" s="12"/>
      <c r="X25" s="12"/>
    </row>
    <row r="26" spans="4:24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"/>
      <c r="T26" s="61"/>
      <c r="U26" s="62"/>
      <c r="W26" s="12"/>
      <c r="X26" s="12"/>
    </row>
    <row r="27" spans="4:21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"/>
      <c r="T27" s="61"/>
      <c r="U27" s="62"/>
    </row>
    <row r="28" spans="4:21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"/>
      <c r="T28" s="61"/>
      <c r="U28" s="62"/>
    </row>
    <row r="29" spans="4:21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"/>
      <c r="T29" s="61"/>
      <c r="U29" s="62"/>
    </row>
    <row r="30" spans="4:21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"/>
      <c r="T30" s="61"/>
      <c r="U30" s="62"/>
    </row>
    <row r="31" spans="4:21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S31" s="1"/>
      <c r="T31" s="61"/>
      <c r="U31" s="62"/>
    </row>
    <row r="32" spans="4:21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"/>
      <c r="T32" s="61"/>
      <c r="U32" s="62"/>
    </row>
    <row r="33" spans="4:21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"/>
      <c r="T33" s="61"/>
      <c r="U33" s="62"/>
    </row>
    <row r="34" spans="4:21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"/>
      <c r="T34" s="61"/>
      <c r="U34" s="62"/>
    </row>
    <row r="35" spans="4:21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S35" s="1"/>
      <c r="T35" s="61"/>
      <c r="U35" s="62"/>
    </row>
    <row r="36" spans="4:21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"/>
      <c r="T36" s="61"/>
      <c r="U36" s="62"/>
    </row>
    <row r="37" spans="4:21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"/>
      <c r="T37" s="61"/>
      <c r="U37" s="62"/>
    </row>
    <row r="38" spans="4:21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"/>
      <c r="T38" s="61"/>
      <c r="U38" s="62"/>
    </row>
    <row r="39" spans="4:21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"/>
      <c r="T39" s="61"/>
      <c r="U39" s="62"/>
    </row>
    <row r="40" spans="4:21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"/>
      <c r="T40" s="61"/>
      <c r="U40" s="62"/>
    </row>
    <row r="41" spans="4:21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S41" s="1"/>
      <c r="T41" s="61"/>
      <c r="U41" s="62"/>
    </row>
    <row r="42" spans="4:21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"/>
      <c r="T42" s="61"/>
      <c r="U42" s="62"/>
    </row>
    <row r="43" spans="4:21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"/>
      <c r="T43" s="61"/>
      <c r="U43" s="62"/>
    </row>
    <row r="44" spans="4:21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"/>
      <c r="T44" s="61"/>
      <c r="U44" s="62"/>
    </row>
    <row r="45" spans="4:21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"/>
      <c r="T45" s="61"/>
      <c r="U45" s="62"/>
    </row>
    <row r="46" spans="4:21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"/>
      <c r="T46" s="61"/>
      <c r="U46" s="62"/>
    </row>
    <row r="47" spans="4:21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"/>
      <c r="T47" s="61"/>
      <c r="U47" s="62"/>
    </row>
    <row r="48" spans="4:21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S48" s="1"/>
      <c r="T48" s="61"/>
      <c r="U48" s="62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Formulas="1" zoomScalePageLayoutView="0" workbookViewId="0" topLeftCell="A1">
      <selection activeCell="H14" sqref="H14"/>
    </sheetView>
  </sheetViews>
  <sheetFormatPr defaultColWidth="9.140625" defaultRowHeight="12.75"/>
  <cols>
    <col min="1" max="1" width="7.8515625" style="0" bestFit="1" customWidth="1"/>
    <col min="2" max="2" width="5.57421875" style="0" bestFit="1" customWidth="1"/>
    <col min="3" max="3" width="6.8515625" style="0" bestFit="1" customWidth="1"/>
    <col min="4" max="4" width="14.7109375" style="0" bestFit="1" customWidth="1"/>
    <col min="5" max="5" width="7.8515625" style="0" bestFit="1" customWidth="1"/>
    <col min="6" max="6" width="7.57421875" style="0" bestFit="1" customWidth="1"/>
    <col min="7" max="7" width="9.57421875" style="0" bestFit="1" customWidth="1"/>
    <col min="8" max="8" width="8.57421875" style="0" bestFit="1" customWidth="1"/>
    <col min="9" max="9" width="7.8515625" style="0" bestFit="1" customWidth="1"/>
    <col min="10" max="10" width="9.140625" style="0" bestFit="1" customWidth="1"/>
    <col min="11" max="11" width="10.8515625" style="0" bestFit="1" customWidth="1"/>
    <col min="12" max="12" width="5.57421875" style="0" bestFit="1" customWidth="1"/>
    <col min="13" max="13" width="7.7109375" style="0" bestFit="1" customWidth="1"/>
  </cols>
  <sheetData>
    <row r="1" spans="1:11" ht="15">
      <c r="A1" s="254" t="s">
        <v>87</v>
      </c>
      <c r="B1" s="254"/>
      <c r="C1" s="254"/>
      <c r="D1" s="1"/>
      <c r="E1" s="255" t="s">
        <v>88</v>
      </c>
      <c r="F1" s="255"/>
      <c r="G1" s="255"/>
      <c r="I1" s="255" t="s">
        <v>88</v>
      </c>
      <c r="J1" s="255"/>
      <c r="K1" s="255"/>
    </row>
    <row r="2" spans="1:11" ht="15">
      <c r="A2" s="60" t="s">
        <v>50</v>
      </c>
      <c r="B2" s="60" t="s">
        <v>86</v>
      </c>
      <c r="C2" s="60" t="s">
        <v>89</v>
      </c>
      <c r="D2" s="1"/>
      <c r="E2" s="60" t="s">
        <v>50</v>
      </c>
      <c r="F2" s="60" t="s">
        <v>90</v>
      </c>
      <c r="G2" s="60" t="s">
        <v>91</v>
      </c>
      <c r="I2" s="60" t="s">
        <v>50</v>
      </c>
      <c r="J2" s="60" t="s">
        <v>115</v>
      </c>
      <c r="K2" s="60" t="s">
        <v>116</v>
      </c>
    </row>
    <row r="3" spans="1:11" ht="15">
      <c r="A3">
        <v>18</v>
      </c>
      <c r="B3">
        <v>0.58</v>
      </c>
      <c r="C3">
        <v>0.58</v>
      </c>
      <c r="E3">
        <v>18</v>
      </c>
      <c r="F3" s="1">
        <v>56.14</v>
      </c>
      <c r="G3" s="61">
        <v>58.42</v>
      </c>
      <c r="H3" s="62"/>
      <c r="I3">
        <v>0</v>
      </c>
      <c r="J3" s="12">
        <v>24.76</v>
      </c>
      <c r="K3" s="12">
        <v>24.76890601540246</v>
      </c>
    </row>
    <row r="4" spans="1:11" ht="15">
      <c r="A4">
        <v>19</v>
      </c>
      <c r="B4">
        <v>0.69</v>
      </c>
      <c r="C4">
        <v>0.61</v>
      </c>
      <c r="E4">
        <v>19</v>
      </c>
      <c r="F4" s="1">
        <v>55.42</v>
      </c>
      <c r="G4" s="61">
        <v>57.72</v>
      </c>
      <c r="H4" s="62"/>
      <c r="I4">
        <v>1</v>
      </c>
      <c r="J4" s="12">
        <v>23.95</v>
      </c>
      <c r="K4" s="12">
        <v>23.964567357930775</v>
      </c>
    </row>
    <row r="5" spans="1:11" ht="15">
      <c r="A5">
        <v>20</v>
      </c>
      <c r="B5">
        <v>0.74</v>
      </c>
      <c r="C5">
        <v>0.58</v>
      </c>
      <c r="E5">
        <v>20</v>
      </c>
      <c r="F5" s="1">
        <v>54.71</v>
      </c>
      <c r="G5" s="61">
        <v>57</v>
      </c>
      <c r="H5" s="62"/>
      <c r="I5">
        <v>2</v>
      </c>
      <c r="J5" s="12">
        <v>23.07</v>
      </c>
      <c r="K5" s="12">
        <v>23.082912301730463</v>
      </c>
    </row>
    <row r="6" spans="1:11" ht="15">
      <c r="A6">
        <v>21</v>
      </c>
      <c r="B6">
        <v>0.79</v>
      </c>
      <c r="C6">
        <v>0.66</v>
      </c>
      <c r="E6">
        <v>21</v>
      </c>
      <c r="F6" s="1">
        <v>53.98</v>
      </c>
      <c r="G6" s="61">
        <v>56.29</v>
      </c>
      <c r="H6" s="62"/>
      <c r="I6">
        <v>3</v>
      </c>
      <c r="J6" s="12">
        <v>22.19</v>
      </c>
      <c r="K6" s="12">
        <v>22.196818526282257</v>
      </c>
    </row>
    <row r="7" spans="1:11" ht="15">
      <c r="A7">
        <v>22</v>
      </c>
      <c r="B7">
        <v>0.8</v>
      </c>
      <c r="C7">
        <v>0.73</v>
      </c>
      <c r="E7">
        <v>22</v>
      </c>
      <c r="F7" s="1">
        <v>53.26</v>
      </c>
      <c r="G7" s="61">
        <v>55.57</v>
      </c>
      <c r="H7" s="62"/>
      <c r="I7">
        <v>4</v>
      </c>
      <c r="J7" s="12">
        <v>21.3</v>
      </c>
      <c r="K7" s="12">
        <v>21.306263684718846</v>
      </c>
    </row>
    <row r="8" spans="1:14" ht="15">
      <c r="A8">
        <v>23</v>
      </c>
      <c r="B8">
        <v>0.91</v>
      </c>
      <c r="C8">
        <v>0.66</v>
      </c>
      <c r="E8">
        <v>23</v>
      </c>
      <c r="F8" s="1">
        <v>52.54</v>
      </c>
      <c r="G8" s="61">
        <v>54.85</v>
      </c>
      <c r="H8" s="62"/>
      <c r="I8">
        <v>5</v>
      </c>
      <c r="J8" s="12">
        <v>20.4</v>
      </c>
      <c r="K8" s="12">
        <v>20.41122531766693</v>
      </c>
      <c r="N8" s="54"/>
    </row>
    <row r="9" spans="1:14" ht="15">
      <c r="A9">
        <v>24</v>
      </c>
      <c r="B9">
        <v>0.96</v>
      </c>
      <c r="C9">
        <v>0.66</v>
      </c>
      <c r="E9">
        <v>24</v>
      </c>
      <c r="F9" s="1">
        <v>51.81</v>
      </c>
      <c r="G9" s="61">
        <v>54.13</v>
      </c>
      <c r="H9" s="62"/>
      <c r="I9">
        <v>6</v>
      </c>
      <c r="J9" s="12">
        <v>19.5</v>
      </c>
      <c r="K9" s="12">
        <v>19.511680852680787</v>
      </c>
      <c r="N9" s="54"/>
    </row>
    <row r="10" spans="1:11" ht="15">
      <c r="A10">
        <v>25</v>
      </c>
      <c r="B10">
        <v>1.03</v>
      </c>
      <c r="C10">
        <v>0.81</v>
      </c>
      <c r="E10">
        <v>25</v>
      </c>
      <c r="F10" s="1">
        <v>51.08</v>
      </c>
      <c r="G10" s="61">
        <v>53.4</v>
      </c>
      <c r="H10" s="62"/>
      <c r="I10">
        <v>7</v>
      </c>
      <c r="J10" s="12">
        <v>18.6</v>
      </c>
      <c r="K10" s="12">
        <v>18.607607603673056</v>
      </c>
    </row>
    <row r="11" spans="1:13" ht="15">
      <c r="A11">
        <v>26</v>
      </c>
      <c r="B11">
        <v>1.1</v>
      </c>
      <c r="C11">
        <v>0.81</v>
      </c>
      <c r="E11">
        <v>26</v>
      </c>
      <c r="F11" s="1">
        <v>50.35</v>
      </c>
      <c r="G11" s="61">
        <v>52.67</v>
      </c>
      <c r="H11" s="62"/>
      <c r="I11">
        <v>8</v>
      </c>
      <c r="J11" s="179">
        <v>17.69</v>
      </c>
      <c r="K11" s="12">
        <v>17.69898244186238</v>
      </c>
      <c r="L11" s="1"/>
      <c r="M11" s="54"/>
    </row>
    <row r="12" spans="1:13" ht="15">
      <c r="A12">
        <v>27</v>
      </c>
      <c r="B12">
        <v>1.11</v>
      </c>
      <c r="C12">
        <v>0.95</v>
      </c>
      <c r="E12">
        <v>27</v>
      </c>
      <c r="F12" s="1">
        <v>49.61</v>
      </c>
      <c r="G12" s="61">
        <v>51.94</v>
      </c>
      <c r="H12" s="62"/>
      <c r="I12">
        <v>9</v>
      </c>
      <c r="J12" s="179">
        <v>16.78</v>
      </c>
      <c r="K12" s="12">
        <v>16.785783437599395</v>
      </c>
      <c r="L12" s="1"/>
      <c r="M12" s="54"/>
    </row>
    <row r="13" spans="1:11" ht="15">
      <c r="A13">
        <v>28</v>
      </c>
      <c r="B13">
        <v>1.25</v>
      </c>
      <c r="C13">
        <v>0.95</v>
      </c>
      <c r="E13">
        <v>28</v>
      </c>
      <c r="F13" s="1">
        <v>48.86</v>
      </c>
      <c r="G13" s="61">
        <v>51.2</v>
      </c>
      <c r="H13" s="62"/>
      <c r="I13">
        <v>10</v>
      </c>
      <c r="J13" s="12">
        <v>15.86</v>
      </c>
      <c r="K13" s="12">
        <v>15.867986574986766</v>
      </c>
    </row>
    <row r="14" spans="1:11" ht="15">
      <c r="A14">
        <v>29</v>
      </c>
      <c r="B14">
        <v>1.32</v>
      </c>
      <c r="C14">
        <v>1.1</v>
      </c>
      <c r="E14">
        <v>29</v>
      </c>
      <c r="F14" s="1">
        <v>48.12</v>
      </c>
      <c r="G14" s="61">
        <v>50.46</v>
      </c>
      <c r="H14" s="62"/>
      <c r="I14">
        <v>11</v>
      </c>
      <c r="J14" s="12">
        <v>14.94</v>
      </c>
      <c r="K14" s="12">
        <v>14.94557629554376</v>
      </c>
    </row>
    <row r="15" spans="1:11" ht="15">
      <c r="A15">
        <v>30</v>
      </c>
      <c r="B15">
        <v>1.42</v>
      </c>
      <c r="C15">
        <v>1.17</v>
      </c>
      <c r="E15">
        <v>30</v>
      </c>
      <c r="F15" s="1">
        <v>47.37</v>
      </c>
      <c r="G15" s="61">
        <v>49.72</v>
      </c>
      <c r="H15" s="62"/>
      <c r="I15">
        <v>12</v>
      </c>
      <c r="J15" s="12">
        <v>14.01</v>
      </c>
      <c r="K15" s="12">
        <v>14.018514853996207</v>
      </c>
    </row>
    <row r="16" spans="1:11" ht="15">
      <c r="A16">
        <v>31</v>
      </c>
      <c r="B16">
        <v>1.57</v>
      </c>
      <c r="C16">
        <v>1.32</v>
      </c>
      <c r="E16">
        <v>31</v>
      </c>
      <c r="F16" s="1">
        <v>46.61</v>
      </c>
      <c r="G16" s="61">
        <v>48.97</v>
      </c>
      <c r="H16" s="62"/>
      <c r="I16">
        <v>13</v>
      </c>
      <c r="J16" s="12">
        <v>13.08</v>
      </c>
      <c r="K16" s="12">
        <v>13.08679373492874</v>
      </c>
    </row>
    <row r="17" spans="1:11" ht="15">
      <c r="A17">
        <v>32</v>
      </c>
      <c r="B17">
        <v>1.74</v>
      </c>
      <c r="C17">
        <v>1.32</v>
      </c>
      <c r="E17">
        <v>32</v>
      </c>
      <c r="F17" s="1">
        <v>45.86</v>
      </c>
      <c r="G17" s="61">
        <v>48.22</v>
      </c>
      <c r="H17" s="62"/>
      <c r="I17">
        <v>14</v>
      </c>
      <c r="J17" s="12">
        <v>12.15</v>
      </c>
      <c r="K17" s="12">
        <v>12.150395961737651</v>
      </c>
    </row>
    <row r="18" spans="1:11" ht="15">
      <c r="A18">
        <v>33</v>
      </c>
      <c r="B18">
        <v>1.87</v>
      </c>
      <c r="C18">
        <v>1.61</v>
      </c>
      <c r="E18">
        <v>33</v>
      </c>
      <c r="F18" s="1">
        <v>45.1</v>
      </c>
      <c r="G18" s="61">
        <v>47.47</v>
      </c>
      <c r="H18" s="62"/>
      <c r="I18">
        <v>15</v>
      </c>
      <c r="J18" s="12">
        <v>11.2</v>
      </c>
      <c r="K18" s="12">
        <v>11.209324786769407</v>
      </c>
    </row>
    <row r="19" spans="1:11" ht="15">
      <c r="A19">
        <v>34</v>
      </c>
      <c r="B19">
        <v>2.04</v>
      </c>
      <c r="C19">
        <v>1.82</v>
      </c>
      <c r="E19">
        <v>34</v>
      </c>
      <c r="F19" s="1">
        <v>44.34</v>
      </c>
      <c r="G19" s="61">
        <v>46.72</v>
      </c>
      <c r="H19" s="62"/>
      <c r="I19">
        <v>16</v>
      </c>
      <c r="J19" s="12">
        <v>10.26</v>
      </c>
      <c r="K19" s="12">
        <v>10.263527406401048</v>
      </c>
    </row>
    <row r="20" spans="1:11" ht="15">
      <c r="A20">
        <v>35</v>
      </c>
      <c r="B20">
        <v>2.31</v>
      </c>
      <c r="C20">
        <v>1.97</v>
      </c>
      <c r="E20">
        <v>35</v>
      </c>
      <c r="F20" s="1">
        <v>43.58</v>
      </c>
      <c r="G20" s="61">
        <v>45.97</v>
      </c>
      <c r="H20" s="62"/>
      <c r="I20">
        <v>17</v>
      </c>
      <c r="J20" s="12">
        <v>9.31</v>
      </c>
      <c r="K20" s="12">
        <v>9.312952092429436</v>
      </c>
    </row>
    <row r="21" spans="1:11" ht="15">
      <c r="A21">
        <v>36</v>
      </c>
      <c r="B21">
        <v>2.56</v>
      </c>
      <c r="C21">
        <v>2.27</v>
      </c>
      <c r="E21">
        <v>36</v>
      </c>
      <c r="F21" s="1">
        <v>42.82</v>
      </c>
      <c r="G21" s="61">
        <v>45.21</v>
      </c>
      <c r="H21" s="62"/>
      <c r="J21" s="12"/>
      <c r="K21" s="12"/>
    </row>
    <row r="22" spans="1:11" ht="15">
      <c r="A22">
        <v>37</v>
      </c>
      <c r="B22">
        <v>2.78</v>
      </c>
      <c r="C22">
        <v>2.48</v>
      </c>
      <c r="E22">
        <v>37</v>
      </c>
      <c r="F22" s="1">
        <v>42.05</v>
      </c>
      <c r="G22" s="61">
        <v>44.45</v>
      </c>
      <c r="H22" s="62"/>
      <c r="J22" s="12"/>
      <c r="K22" s="12"/>
    </row>
    <row r="23" spans="1:11" ht="15">
      <c r="A23">
        <v>38</v>
      </c>
      <c r="B23">
        <v>3.09</v>
      </c>
      <c r="C23">
        <v>2.85</v>
      </c>
      <c r="E23">
        <v>38</v>
      </c>
      <c r="F23" s="1">
        <v>41.28</v>
      </c>
      <c r="G23" s="61">
        <v>43.68</v>
      </c>
      <c r="H23" s="62"/>
      <c r="J23" s="12"/>
      <c r="K23" s="12"/>
    </row>
    <row r="24" spans="1:11" ht="15">
      <c r="A24">
        <v>39</v>
      </c>
      <c r="B24">
        <v>3.51</v>
      </c>
      <c r="C24">
        <v>3.07</v>
      </c>
      <c r="E24">
        <v>39</v>
      </c>
      <c r="F24" s="1">
        <v>40.5</v>
      </c>
      <c r="G24" s="61">
        <v>42.92</v>
      </c>
      <c r="H24" s="62"/>
      <c r="J24" s="12"/>
      <c r="K24" s="12"/>
    </row>
    <row r="25" spans="1:11" ht="15">
      <c r="A25">
        <v>40</v>
      </c>
      <c r="B25">
        <v>3.89</v>
      </c>
      <c r="C25">
        <v>3.58</v>
      </c>
      <c r="E25">
        <v>40</v>
      </c>
      <c r="F25" s="1">
        <v>39.73</v>
      </c>
      <c r="G25" s="61">
        <v>42.15</v>
      </c>
      <c r="H25" s="62"/>
      <c r="J25" s="12"/>
      <c r="K25" s="12"/>
    </row>
    <row r="26" spans="1:11" ht="15">
      <c r="A26">
        <v>41</v>
      </c>
      <c r="B26">
        <v>4.35</v>
      </c>
      <c r="C26">
        <v>4.09</v>
      </c>
      <c r="E26">
        <v>41</v>
      </c>
      <c r="F26" s="1">
        <v>38.95</v>
      </c>
      <c r="G26" s="61">
        <v>41.38</v>
      </c>
      <c r="H26" s="62"/>
      <c r="J26" s="12"/>
      <c r="K26" s="12"/>
    </row>
    <row r="27" spans="1:11" ht="15">
      <c r="A27">
        <v>42</v>
      </c>
      <c r="B27">
        <v>4.93</v>
      </c>
      <c r="C27">
        <v>4.61</v>
      </c>
      <c r="E27">
        <v>42</v>
      </c>
      <c r="F27" s="1">
        <v>38.17</v>
      </c>
      <c r="G27" s="61">
        <v>40.6</v>
      </c>
      <c r="H27" s="62"/>
      <c r="J27" s="12"/>
      <c r="K27" s="12"/>
    </row>
    <row r="28" spans="1:11" ht="15">
      <c r="A28">
        <v>43</v>
      </c>
      <c r="B28">
        <v>5.5</v>
      </c>
      <c r="C28">
        <v>4.97</v>
      </c>
      <c r="E28">
        <v>43</v>
      </c>
      <c r="F28" s="1">
        <v>37.38</v>
      </c>
      <c r="G28" s="61">
        <v>39.83</v>
      </c>
      <c r="H28" s="62"/>
      <c r="J28" s="12"/>
      <c r="K28" s="12"/>
    </row>
    <row r="29" spans="1:11" ht="15">
      <c r="A29">
        <v>44</v>
      </c>
      <c r="B29">
        <v>6.14</v>
      </c>
      <c r="C29">
        <v>5.92</v>
      </c>
      <c r="E29">
        <v>44</v>
      </c>
      <c r="F29" s="1">
        <v>36.6</v>
      </c>
      <c r="G29" s="61">
        <v>39.05</v>
      </c>
      <c r="H29" s="62"/>
      <c r="J29" s="12"/>
      <c r="K29" s="12"/>
    </row>
    <row r="30" spans="1:8" ht="15">
      <c r="A30">
        <v>45</v>
      </c>
      <c r="B30">
        <v>6.74</v>
      </c>
      <c r="C30">
        <v>6.58</v>
      </c>
      <c r="E30">
        <v>45</v>
      </c>
      <c r="F30" s="1">
        <v>35.81</v>
      </c>
      <c r="G30" s="61">
        <v>38.27</v>
      </c>
      <c r="H30" s="62"/>
    </row>
    <row r="31" spans="1:8" ht="15">
      <c r="A31">
        <v>46</v>
      </c>
      <c r="B31">
        <v>7.52</v>
      </c>
      <c r="C31">
        <v>7.67</v>
      </c>
      <c r="E31">
        <v>46</v>
      </c>
      <c r="F31" s="1">
        <v>35.02</v>
      </c>
      <c r="G31" s="61">
        <v>37.49</v>
      </c>
      <c r="H31" s="62"/>
    </row>
    <row r="32" spans="1:8" ht="15">
      <c r="A32">
        <v>47</v>
      </c>
      <c r="B32">
        <v>8.79</v>
      </c>
      <c r="C32">
        <v>8.63</v>
      </c>
      <c r="E32">
        <v>47</v>
      </c>
      <c r="F32" s="1">
        <v>34.23</v>
      </c>
      <c r="G32" s="61">
        <v>36.7</v>
      </c>
      <c r="H32" s="62"/>
    </row>
    <row r="33" spans="1:8" ht="15">
      <c r="A33">
        <v>48</v>
      </c>
      <c r="B33">
        <v>9.92</v>
      </c>
      <c r="C33">
        <v>9.36</v>
      </c>
      <c r="E33">
        <v>48</v>
      </c>
      <c r="F33" s="1">
        <v>33.43</v>
      </c>
      <c r="G33" s="61">
        <v>35.92</v>
      </c>
      <c r="H33" s="62"/>
    </row>
    <row r="34" spans="1:8" ht="15">
      <c r="A34">
        <v>49</v>
      </c>
      <c r="B34">
        <v>11.3</v>
      </c>
      <c r="C34">
        <v>10.24</v>
      </c>
      <c r="E34">
        <v>49</v>
      </c>
      <c r="F34" s="1">
        <v>32.64</v>
      </c>
      <c r="G34" s="61">
        <v>35.14</v>
      </c>
      <c r="H34" s="62"/>
    </row>
    <row r="35" spans="1:8" ht="15">
      <c r="A35">
        <v>50</v>
      </c>
      <c r="B35">
        <v>12.72</v>
      </c>
      <c r="C35">
        <v>11.33</v>
      </c>
      <c r="E35">
        <v>50</v>
      </c>
      <c r="F35" s="1">
        <v>31.85</v>
      </c>
      <c r="G35" s="61">
        <v>34.35</v>
      </c>
      <c r="H35" s="62"/>
    </row>
    <row r="36" spans="1:8" ht="15">
      <c r="A36">
        <v>51</v>
      </c>
      <c r="B36">
        <v>14.4</v>
      </c>
      <c r="C36">
        <v>12.51</v>
      </c>
      <c r="E36">
        <v>51</v>
      </c>
      <c r="F36" s="1">
        <v>31.05</v>
      </c>
      <c r="G36" s="61">
        <v>33.57</v>
      </c>
      <c r="H36" s="62"/>
    </row>
    <row r="37" spans="1:8" ht="15">
      <c r="A37">
        <v>52</v>
      </c>
      <c r="B37">
        <v>16.02</v>
      </c>
      <c r="C37">
        <v>14.34</v>
      </c>
      <c r="E37">
        <v>52</v>
      </c>
      <c r="F37" s="1">
        <v>30.26</v>
      </c>
      <c r="G37" s="61">
        <v>32.78</v>
      </c>
      <c r="H37" s="62"/>
    </row>
    <row r="38" spans="1:8" ht="15">
      <c r="A38">
        <v>53</v>
      </c>
      <c r="B38">
        <v>17.9</v>
      </c>
      <c r="C38">
        <v>15.14</v>
      </c>
      <c r="E38">
        <v>53</v>
      </c>
      <c r="F38" s="1">
        <v>29.47</v>
      </c>
      <c r="G38" s="61">
        <v>32</v>
      </c>
      <c r="H38" s="62"/>
    </row>
    <row r="39" spans="1:8" ht="15">
      <c r="A39">
        <v>54</v>
      </c>
      <c r="B39">
        <v>19.72</v>
      </c>
      <c r="C39">
        <v>16.68</v>
      </c>
      <c r="E39">
        <v>54</v>
      </c>
      <c r="F39" s="1">
        <v>28.68</v>
      </c>
      <c r="G39" s="61">
        <v>31.22</v>
      </c>
      <c r="H39" s="62"/>
    </row>
    <row r="40" spans="1:8" ht="15">
      <c r="A40">
        <v>55</v>
      </c>
      <c r="B40">
        <v>22.42</v>
      </c>
      <c r="C40">
        <v>18.21</v>
      </c>
      <c r="E40">
        <v>55</v>
      </c>
      <c r="F40" s="1">
        <v>27.89</v>
      </c>
      <c r="G40" s="61">
        <v>30.44</v>
      </c>
      <c r="H40" s="62"/>
    </row>
    <row r="41" spans="1:8" ht="15">
      <c r="A41">
        <v>56</v>
      </c>
      <c r="B41">
        <v>24.78</v>
      </c>
      <c r="C41">
        <v>19.98</v>
      </c>
      <c r="E41">
        <v>56</v>
      </c>
      <c r="F41" s="1">
        <v>27.1</v>
      </c>
      <c r="G41" s="61">
        <v>29.66</v>
      </c>
      <c r="H41" s="62"/>
    </row>
    <row r="42" spans="1:8" ht="15">
      <c r="A42">
        <v>57</v>
      </c>
      <c r="B42">
        <v>27.81</v>
      </c>
      <c r="C42">
        <v>21.8</v>
      </c>
      <c r="E42">
        <v>57</v>
      </c>
      <c r="F42" s="1">
        <v>26.32</v>
      </c>
      <c r="G42" s="61">
        <v>28.88</v>
      </c>
      <c r="H42" s="62"/>
    </row>
    <row r="43" spans="1:8" ht="15">
      <c r="A43">
        <v>58</v>
      </c>
      <c r="B43">
        <v>30.91</v>
      </c>
      <c r="C43">
        <v>24</v>
      </c>
      <c r="E43">
        <v>58</v>
      </c>
      <c r="F43" s="1">
        <v>25.53</v>
      </c>
      <c r="G43" s="61">
        <v>28.11</v>
      </c>
      <c r="H43" s="62"/>
    </row>
    <row r="44" spans="1:8" ht="15">
      <c r="A44">
        <v>59</v>
      </c>
      <c r="B44">
        <v>33.88</v>
      </c>
      <c r="C44">
        <v>25.9</v>
      </c>
      <c r="E44">
        <v>59</v>
      </c>
      <c r="F44" s="1">
        <v>24.75</v>
      </c>
      <c r="G44" s="61">
        <v>27.33</v>
      </c>
      <c r="H44" s="62"/>
    </row>
    <row r="45" spans="1:8" ht="15">
      <c r="A45">
        <v>60</v>
      </c>
      <c r="B45">
        <v>38.2</v>
      </c>
      <c r="C45">
        <v>29.06</v>
      </c>
      <c r="E45">
        <v>60</v>
      </c>
      <c r="F45" s="1">
        <v>23.98</v>
      </c>
      <c r="G45" s="61">
        <v>26.56</v>
      </c>
      <c r="H45" s="62"/>
    </row>
    <row r="46" spans="1:8" ht="15">
      <c r="A46">
        <v>61</v>
      </c>
      <c r="B46">
        <v>42.25</v>
      </c>
      <c r="C46">
        <v>32</v>
      </c>
      <c r="E46">
        <v>61</v>
      </c>
      <c r="F46" s="1">
        <v>23.21</v>
      </c>
      <c r="G46" s="61">
        <v>25.78</v>
      </c>
      <c r="H46" s="62"/>
    </row>
    <row r="47" spans="1:8" ht="15">
      <c r="A47">
        <v>62</v>
      </c>
      <c r="B47">
        <v>47.05</v>
      </c>
      <c r="C47">
        <v>33.97</v>
      </c>
      <c r="E47">
        <v>62</v>
      </c>
      <c r="F47" s="1">
        <v>22.44</v>
      </c>
      <c r="G47" s="61">
        <v>25.01</v>
      </c>
      <c r="H47" s="62"/>
    </row>
    <row r="48" spans="1:8" ht="15">
      <c r="A48">
        <v>63</v>
      </c>
      <c r="B48">
        <v>52.59</v>
      </c>
      <c r="C48">
        <v>36.69</v>
      </c>
      <c r="E48">
        <v>63</v>
      </c>
      <c r="F48" s="1">
        <v>21.67</v>
      </c>
      <c r="G48" s="61">
        <v>24.24</v>
      </c>
      <c r="H48" s="62"/>
    </row>
    <row r="49" spans="1:8" ht="15">
      <c r="A49">
        <v>64</v>
      </c>
      <c r="B49">
        <v>58.55</v>
      </c>
      <c r="C49">
        <v>40.94</v>
      </c>
      <c r="E49">
        <v>64</v>
      </c>
      <c r="F49" s="1">
        <v>20.9</v>
      </c>
      <c r="G49" s="61">
        <v>23.46</v>
      </c>
      <c r="H49" s="62"/>
    </row>
    <row r="50" spans="1:8" ht="15">
      <c r="A50">
        <v>65</v>
      </c>
      <c r="B50">
        <v>65.18</v>
      </c>
      <c r="C50">
        <v>44.17</v>
      </c>
      <c r="E50">
        <v>65</v>
      </c>
      <c r="F50" s="1">
        <v>20.14</v>
      </c>
      <c r="G50" s="61">
        <v>22.69</v>
      </c>
      <c r="H50" s="62"/>
    </row>
    <row r="51" spans="1:8" ht="15">
      <c r="A51">
        <v>66</v>
      </c>
      <c r="B51">
        <v>72.36</v>
      </c>
      <c r="C51">
        <v>48.28</v>
      </c>
      <c r="E51">
        <v>66</v>
      </c>
      <c r="F51" s="1">
        <v>19.38</v>
      </c>
      <c r="G51" s="61">
        <v>21.92</v>
      </c>
      <c r="H51" s="62"/>
    </row>
    <row r="52" spans="1:3" ht="12.75">
      <c r="A52">
        <v>67</v>
      </c>
      <c r="B52">
        <v>79.89</v>
      </c>
      <c r="C52">
        <v>52.41</v>
      </c>
    </row>
  </sheetData>
  <sheetProtection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Keukens</dc:creator>
  <cp:keywords/>
  <dc:description/>
  <cp:lastModifiedBy>GJ van Dalen</cp:lastModifiedBy>
  <dcterms:created xsi:type="dcterms:W3CDTF">2012-02-21T15:55:27Z</dcterms:created>
  <dcterms:modified xsi:type="dcterms:W3CDTF">2020-03-25T11:55:22Z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