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20" activeTab="1"/>
  </bookViews>
  <sheets>
    <sheet name="OUTPUT" sheetId="1" r:id="rId1"/>
    <sheet name="INPUT" sheetId="2" r:id="rId2"/>
    <sheet name="Bereken PP|WzP" sheetId="3" r:id="rId3"/>
    <sheet name="Premie ASR berekenen" sheetId="4" r:id="rId4"/>
    <sheet name="Netto WnP" sheetId="5" r:id="rId5"/>
  </sheets>
  <externalReferences>
    <externalReference r:id="rId8"/>
  </externalReferences>
  <definedNames>
    <definedName name="_xlfn.IFS" hidden="1">#NAME?</definedName>
    <definedName name="_xlfn.MAXIFS" hidden="1">#NAME?</definedName>
    <definedName name="input_aantal_kinderen">'INPUT'!$J$2</definedName>
    <definedName name="input_bepaalde_partner">'INPUT'!$AS$2</definedName>
    <definedName name="input_betalingstermijn">'INPUT'!$X$2</definedName>
    <definedName name="input_burgerlijkestaat">'INPUT'!$G$2</definedName>
    <definedName name="input_cluster">'INPUT'!$W$2</definedName>
    <definedName name="input_Correctiepercentage">'INPUT'!$AQ$2</definedName>
    <definedName name="input_datum_in_dienst">'INPUT'!$C$2</definedName>
    <definedName name="input_deelnemersjaren_vanaf">'INPUT'!$AL$2</definedName>
    <definedName name="input_franchise">'INPUT'!$L$2</definedName>
    <definedName name="input_fulltime_salaris">'INPUT'!$F$2</definedName>
    <definedName name="input_geboortedatum">'INPUT'!$B$2</definedName>
    <definedName name="input_geboortedatum_k1">'INPUT'!$Q$2</definedName>
    <definedName name="input_geboortedatum_k2">'INPUT'!$R$2</definedName>
    <definedName name="input_geboortedatum_k3">'INPUT'!$S$2</definedName>
    <definedName name="input_geboortedatum_k4">'INPUT'!$T$2</definedName>
    <definedName name="input_geboortedatum_k5">'INPUT'!$U$2</definedName>
    <definedName name="input_geboortedatum_partner">'INPUT'!$I$2</definedName>
    <definedName name="input_geslacht">'INPUT'!$A$2</definedName>
    <definedName name="input_geslacht_partner">'INPUT'!$H$2</definedName>
    <definedName name="input_Kortingspercentage_NP">'INPUT'!$AO$2</definedName>
    <definedName name="input_Kortingspercentage_WzP">'INPUT'!$AP$2</definedName>
    <definedName name="input_max_pensioensalaris">'INPUT'!$AN$2</definedName>
    <definedName name="input_np_max_looptijd">'INPUT'!$AK$2</definedName>
    <definedName name="input_np_perc_per_dj">'INPUT'!$AJ$2</definedName>
    <definedName name="input_np_premie_perc_wg">'INPUT'!$Y$2</definedName>
    <definedName name="input_np_premie_perc_wn">'INPUT'!$Z$2</definedName>
    <definedName name="input_parttime_percentage">'INPUT'!$E$2</definedName>
    <definedName name="input_pensioengevend_salaris">'INPUT'!$M$2</definedName>
    <definedName name="input_pensioenleeftijd">'INPUT'!$P$2</definedName>
    <definedName name="input_periodesalaris">'INPUT'!$D$2</definedName>
    <definedName name="input_poliskosten">'INPUT'!$AC$2</definedName>
    <definedName name="input_stijgende_uitkering">'INPUT'!$AR$2</definedName>
    <definedName name="input_verzekerd_bedrag">'[1]INPUT'!$G$2</definedName>
    <definedName name="input_waardeoverdracht">'INPUT'!$O$2</definedName>
    <definedName name="input_wijzigingsdatum">'INPUT'!$K$2</definedName>
    <definedName name="input_wzp_eindleeftijd">'INPUT'!$AH$2</definedName>
    <definedName name="input_wzp_perc_np">'INPUT'!$AI$2</definedName>
    <definedName name="input_wzp_premie_perc_wg">'INPUT'!$AA$2</definedName>
    <definedName name="input_wzp_premie_perc_wn">'INPUT'!$AB$2</definedName>
    <definedName name="output_franchise">'OUTPUT'!$B$2</definedName>
    <definedName name="output_franchise_op">'OUTPUT'!$B$2</definedName>
    <definedName name="output_gewogen_parttime_perc">'OUTPUT'!$M$2</definedName>
    <definedName name="output_partnerpensioen">'OUTPUT'!$E$2</definedName>
    <definedName name="output_partnerpensioen_kapitaal">'OUTPUT'!$D$2</definedName>
    <definedName name="output_pensioen_grondslag">'OUTPUT'!$C$2</definedName>
    <definedName name="output_pensioengevend_jaarsalaris">'OUTPUT'!$A$2</definedName>
    <definedName name="output_premie_pj_np">'OUTPUT'!$G$2</definedName>
    <definedName name="output_premie_pj_wzp">'OUTPUT'!$J$2</definedName>
    <definedName name="output_premie_wg_np">'OUTPUT'!$H$2</definedName>
    <definedName name="output_premie_wg_wzp">'OUTPUT'!$K$2</definedName>
    <definedName name="output_premie_wn_np">'OUTPUT'!$I$2</definedName>
    <definedName name="output_premie_wn_wzp">'OUTPUT'!$L$2</definedName>
    <definedName name="output_wezenpensioen">'OUTPUT'!$F$2</definedName>
  </definedNames>
  <calcPr fullCalcOnLoad="1"/>
</workbook>
</file>

<file path=xl/sharedStrings.xml><?xml version="1.0" encoding="utf-8"?>
<sst xmlns="http://schemas.openxmlformats.org/spreadsheetml/2006/main" count="325" uniqueCount="142">
  <si>
    <t>P lft</t>
  </si>
  <si>
    <t>Salaris</t>
  </si>
  <si>
    <t>Aanspraak PP</t>
  </si>
  <si>
    <t>Kind 1 geboortedatum</t>
  </si>
  <si>
    <t>Premie werkgever</t>
  </si>
  <si>
    <t>Aanspraak WzP</t>
  </si>
  <si>
    <t>Pensioengevend_Salaris</t>
  </si>
  <si>
    <t>Kind 4 geboortedatum</t>
  </si>
  <si>
    <t>Partnerpensioen</t>
  </si>
  <si>
    <t>Geslacht_partner</t>
  </si>
  <si>
    <t>Wezenpensioen</t>
  </si>
  <si>
    <t>DID</t>
  </si>
  <si>
    <t>PP</t>
  </si>
  <si>
    <t>Leeftijd</t>
  </si>
  <si>
    <t>Jaarpremie</t>
  </si>
  <si>
    <t>WzP premie werknemer</t>
  </si>
  <si>
    <t>Geslacht</t>
  </si>
  <si>
    <t>Partnerpensioen kapitaal</t>
  </si>
  <si>
    <t>Wijzigingsdatum</t>
  </si>
  <si>
    <t>Geboortedatum_partner</t>
  </si>
  <si>
    <t>Geboortedatum werknemer</t>
  </si>
  <si>
    <t>Franchise</t>
  </si>
  <si>
    <t>Kind 2 geboortedatum</t>
  </si>
  <si>
    <t>Gewogen parttime %</t>
  </si>
  <si>
    <t>premie werknemer</t>
  </si>
  <si>
    <t>WzP Premie werkgever</t>
  </si>
  <si>
    <t>Gem.tarief WzP</t>
  </si>
  <si>
    <t>Geboortedatum</t>
  </si>
  <si>
    <t>Datum_in_dienst</t>
  </si>
  <si>
    <t>Tarief WzP</t>
  </si>
  <si>
    <t>Opbouw %</t>
  </si>
  <si>
    <t>Pensioengrondslag</t>
  </si>
  <si>
    <t>Kind 5 geboortedatum</t>
  </si>
  <si>
    <t>Waardeoverdracht</t>
  </si>
  <si>
    <t>Fulltime_salaris</t>
  </si>
  <si>
    <t>PG</t>
  </si>
  <si>
    <t>WzP</t>
  </si>
  <si>
    <t>Kind 3 geboortedatum</t>
  </si>
  <si>
    <t>partt/ gewogen</t>
  </si>
  <si>
    <t>Aantal_kinderen</t>
  </si>
  <si>
    <t>Burgerlijkestaat</t>
  </si>
  <si>
    <t>Franchise OP</t>
  </si>
  <si>
    <t>Pensioenleeftijd</t>
  </si>
  <si>
    <t>aantal jaren tussen DID en PID</t>
  </si>
  <si>
    <t>Parttime_percentage</t>
  </si>
  <si>
    <t>WzP Jaarpremie</t>
  </si>
  <si>
    <t>Periodesalaris</t>
  </si>
  <si>
    <t>PD</t>
  </si>
  <si>
    <t>Vrouw</t>
  </si>
  <si>
    <t>Man</t>
  </si>
  <si>
    <t>peildatum 31ste vh jaar voor het huidige</t>
  </si>
  <si>
    <t>Poolwinst</t>
  </si>
  <si>
    <t>Cluster</t>
  </si>
  <si>
    <t>Betalingstermijn</t>
  </si>
  <si>
    <t>NP premie perc wg</t>
  </si>
  <si>
    <t>NP premie perc wn</t>
  </si>
  <si>
    <t>WzP Premie perc wg</t>
  </si>
  <si>
    <t>WzP Premie perc wn</t>
  </si>
  <si>
    <t>Poliskosten</t>
  </si>
  <si>
    <t>knip NP</t>
  </si>
  <si>
    <t>knip WzP</t>
  </si>
  <si>
    <t>Geknipte regeling</t>
  </si>
  <si>
    <t>Knip meeverzekeren</t>
  </si>
  <si>
    <t>WzP eindleeftijd</t>
  </si>
  <si>
    <t>WzP perc np</t>
  </si>
  <si>
    <t>NP Perc per dj</t>
  </si>
  <si>
    <t>NP max looptijd</t>
  </si>
  <si>
    <t>Deelnemersjaren vanaf</t>
  </si>
  <si>
    <t>Max Pensioensalaris</t>
  </si>
  <si>
    <t>Maximum salaris</t>
  </si>
  <si>
    <t>PT%</t>
  </si>
  <si>
    <t>Pensioen Grondslag</t>
  </si>
  <si>
    <t>100% salaris</t>
  </si>
  <si>
    <t>Parttime salaris</t>
  </si>
  <si>
    <t>Korting WzP</t>
  </si>
  <si>
    <t>Premie per maand per 1.000 verzekerd pensioen</t>
  </si>
  <si>
    <t>Premie per maand per 1.000 verzekerd ANW pensioen</t>
  </si>
  <si>
    <t>Exclusief VPA, tarief 2018 WnP, geen kortingen, RTS december 2017</t>
  </si>
  <si>
    <t>Gelijkblijvend ANW pensioen</t>
  </si>
  <si>
    <t>gelijkblijvend</t>
  </si>
  <si>
    <t>1% stijgend na ingang</t>
  </si>
  <si>
    <t>2% stijgend na ingang</t>
  </si>
  <si>
    <t>3% stijgend na ingang</t>
  </si>
  <si>
    <t>ANW vrijwillig</t>
  </si>
  <si>
    <t>Leeftijd deelnemer</t>
  </si>
  <si>
    <t>WzP 18 jr</t>
  </si>
  <si>
    <t>WzP 21 jr</t>
  </si>
  <si>
    <t>WzP 27 jr</t>
  </si>
  <si>
    <t>WzP 30 jr</t>
  </si>
  <si>
    <t>ANW verplicht</t>
  </si>
  <si>
    <t>ANW bedrag</t>
  </si>
  <si>
    <t>premie per mnd</t>
  </si>
  <si>
    <t>premie incl. VPA 3,5%</t>
  </si>
  <si>
    <t>mannen</t>
  </si>
  <si>
    <t>vrouwen</t>
  </si>
  <si>
    <t>geslacht onafhankelijk tarief</t>
  </si>
  <si>
    <t xml:space="preserve">Deze premietabellen zijn vastgesteld door de definitieve premie te delen door de verzekerde dekking. Hierbij kunnen afrondingsverschillen ontstaan. </t>
  </si>
  <si>
    <t>Exclusief VPA, tarief 2018 netto WnP, RTS december 2017</t>
  </si>
  <si>
    <t>Vrijwillige deelname</t>
  </si>
  <si>
    <t>Tarief PP MAN</t>
  </si>
  <si>
    <t>tarief PP VROUW</t>
  </si>
  <si>
    <t>mnd</t>
  </si>
  <si>
    <t>jaar</t>
  </si>
  <si>
    <t>Eindlft WzP</t>
  </si>
  <si>
    <t>Deelnemer</t>
  </si>
  <si>
    <t>Kortingspercentage NP</t>
  </si>
  <si>
    <t>Kortingspercentage WzP</t>
  </si>
  <si>
    <t>Correctiepercentage</t>
  </si>
  <si>
    <t>14166,08</t>
  </si>
  <si>
    <t>Korting NP</t>
  </si>
  <si>
    <t>Correctie %</t>
  </si>
  <si>
    <t>gelijkblijvend (tarief 2020)</t>
  </si>
  <si>
    <t>input_stijgende_uitkering</t>
  </si>
  <si>
    <t>Stijging</t>
  </si>
  <si>
    <t>Mnd premie Man</t>
  </si>
  <si>
    <t>Mnd pr Vrouw</t>
  </si>
  <si>
    <t>premie</t>
  </si>
  <si>
    <t>netto p mnd</t>
  </si>
  <si>
    <t>netto p jaar</t>
  </si>
  <si>
    <t>Als man/ Vrouw</t>
  </si>
  <si>
    <t>netto per maand</t>
  </si>
  <si>
    <t>Netto per jaar</t>
  </si>
  <si>
    <t>als man/vrouw_21</t>
  </si>
  <si>
    <t>als man/vrouw_18</t>
  </si>
  <si>
    <t>als man/vrouw_27</t>
  </si>
  <si>
    <t>als man/vrouw_30</t>
  </si>
  <si>
    <t>WzP jr Premie</t>
  </si>
  <si>
    <t>Man 21</t>
  </si>
  <si>
    <t>Vrouw 21</t>
  </si>
  <si>
    <t>lft</t>
  </si>
  <si>
    <t>man</t>
  </si>
  <si>
    <t>vrouw</t>
  </si>
  <si>
    <t>Premie bij 0,1,2,3 stijging</t>
  </si>
  <si>
    <t>gebdd</t>
  </si>
  <si>
    <t>3</t>
  </si>
  <si>
    <t>leeftijd jr/mnd</t>
  </si>
  <si>
    <t>Op H3 moet dus staan: uitkomst is H2 met een max van INPUT dienstjaren (INPUT AK2), maar er komt een 0 mee en dan moet ie gewoon H2 pakken.</t>
  </si>
  <si>
    <t>PP onbep.</t>
  </si>
  <si>
    <t>PP bepaald</t>
  </si>
  <si>
    <t>Alleenstaand</t>
  </si>
  <si>
    <t>Naar OUTPUT</t>
  </si>
  <si>
    <t>input_bepaalde_partner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</si>
</sst>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0.000%"/>
    <numFmt numFmtId="166" formatCode="0.00000"/>
    <numFmt numFmtId="167" formatCode="0.0000"/>
    <numFmt numFmtId="168" formatCode="_ * #,##0.000000_ ;_ * \-#,##0.000000_ ;_ * &quot;-&quot;??_ ;_ @_ "/>
    <numFmt numFmtId="169" formatCode="0.000000"/>
    <numFmt numFmtId="170" formatCode="#,##0.0000_ ;\-#,##0.0000\ "/>
    <numFmt numFmtId="171" formatCode="#,##0.0000000_ ;\-#,##0.0000000\ "/>
    <numFmt numFmtId="172" formatCode="0.0000%"/>
    <numFmt numFmtId="173" formatCode="[$-413]dddd\ d\ mmmm\ yyyy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 &quot;€&quot;\ * #,##0.0000_ ;_ &quot;€&quot;\ * \-#,##0.0000_ ;_ &quot;€&quot;\ * &quot;-&quot;????_ ;_ @_ "/>
    <numFmt numFmtId="179" formatCode="_ &quot;€&quot;\ * #,##0.00000_ ;_ &quot;€&quot;\ * \-#,##0.00000_ ;_ &quot;€&quot;\ * &quot;-&quot;?????_ ;_ @_ "/>
    <numFmt numFmtId="180" formatCode="_ &quot;€&quot;\ * #,##0.000000_ ;_ &quot;€&quot;\ * \-#,##0.000000_ ;_ &quot;€&quot;\ * &quot;-&quot;??????_ ;_ @_ "/>
    <numFmt numFmtId="181" formatCode="_ * #,##0.000000_ ;_ * \-#,##0.000000_ ;_ * &quot;-&quot;????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63"/>
      <name val="Trebuchet MS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3"/>
      <name val="Arial"/>
      <family val="2"/>
    </font>
    <font>
      <b/>
      <sz val="16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3E4855"/>
      <name val="Arial"/>
      <family val="2"/>
    </font>
    <font>
      <b/>
      <sz val="16"/>
      <color rgb="FF00B05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73999559879303"/>
        <bgColor indexed="64"/>
      </patternFill>
    </fill>
    <fill>
      <patternFill patternType="solid">
        <fgColor theme="3" tint="0.79986000061035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-0.249909996986389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 style="medium"/>
      <bottom style="medium">
        <color indexed="1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1" applyNumberFormat="0" applyAlignment="0" applyProtection="0"/>
    <xf numFmtId="0" fontId="3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1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14" borderId="0" xfId="0" applyFill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34" borderId="0" xfId="57" applyFont="1" applyFill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14" fontId="0" fillId="0" borderId="0" xfId="57" applyNumberFormat="1" applyFont="1">
      <alignment/>
      <protection/>
    </xf>
    <xf numFmtId="166" fontId="0" fillId="0" borderId="0" xfId="57" applyNumberFormat="1" applyFont="1">
      <alignment/>
      <protection/>
    </xf>
    <xf numFmtId="4" fontId="0" fillId="0" borderId="0" xfId="57" applyNumberFormat="1" applyFont="1">
      <alignment/>
      <protection/>
    </xf>
    <xf numFmtId="165" fontId="0" fillId="0" borderId="0" xfId="0" applyNumberFormat="1" applyAlignment="1">
      <alignment/>
    </xf>
    <xf numFmtId="164" fontId="0" fillId="0" borderId="0" xfId="64" applyFont="1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5" borderId="0" xfId="0" applyFill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36" borderId="1" xfId="0" applyFill="1" applyBorder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164" fontId="0" fillId="35" borderId="0" xfId="64" applyFont="1" applyFill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6" borderId="14" xfId="0" applyFill="1" applyBorder="1" applyAlignment="1">
      <alignment/>
    </xf>
    <xf numFmtId="0" fontId="1" fillId="0" borderId="0" xfId="58">
      <alignment/>
      <protection/>
    </xf>
    <xf numFmtId="0" fontId="9" fillId="0" borderId="0" xfId="58" applyFont="1">
      <alignment/>
      <protection/>
    </xf>
    <xf numFmtId="168" fontId="9" fillId="0" borderId="0" xfId="46" applyNumberFormat="1" applyFont="1" applyAlignment="1">
      <alignment/>
    </xf>
    <xf numFmtId="0" fontId="10" fillId="0" borderId="0" xfId="58" applyFont="1" applyAlignment="1">
      <alignment vertical="top" wrapText="1"/>
      <protection/>
    </xf>
    <xf numFmtId="0" fontId="10" fillId="0" borderId="1" xfId="58" applyFont="1" applyBorder="1" applyAlignment="1">
      <alignment horizontal="center" vertical="top" wrapText="1"/>
      <protection/>
    </xf>
    <xf numFmtId="0" fontId="1" fillId="0" borderId="1" xfId="58" applyBorder="1" applyAlignment="1">
      <alignment vertical="top" wrapText="1"/>
      <protection/>
    </xf>
    <xf numFmtId="0" fontId="1" fillId="0" borderId="0" xfId="58" applyAlignment="1">
      <alignment horizontal="center" vertical="top" wrapText="1"/>
      <protection/>
    </xf>
    <xf numFmtId="168" fontId="9" fillId="0" borderId="1" xfId="46" applyNumberFormat="1" applyFont="1" applyBorder="1" applyAlignment="1">
      <alignment horizontal="center" vertical="top" wrapText="1"/>
    </xf>
    <xf numFmtId="0" fontId="1" fillId="0" borderId="1" xfId="58" applyBorder="1" applyAlignment="1">
      <alignment horizontal="center" vertical="top" wrapText="1"/>
      <protection/>
    </xf>
    <xf numFmtId="0" fontId="11" fillId="0" borderId="1" xfId="58" applyFont="1" applyBorder="1" applyAlignment="1">
      <alignment horizontal="center" vertical="top" wrapText="1"/>
      <protection/>
    </xf>
    <xf numFmtId="0" fontId="9" fillId="0" borderId="1" xfId="58" applyFont="1" applyBorder="1" applyAlignment="1">
      <alignment horizontal="center" vertical="top" wrapText="1"/>
      <protection/>
    </xf>
    <xf numFmtId="168" fontId="9" fillId="0" borderId="15" xfId="46" applyNumberFormat="1" applyFont="1" applyBorder="1" applyAlignment="1">
      <alignment horizontal="center" vertical="top" wrapText="1"/>
    </xf>
    <xf numFmtId="168" fontId="9" fillId="0" borderId="16" xfId="46" applyNumberFormat="1" applyFont="1" applyBorder="1" applyAlignment="1">
      <alignment horizontal="center" vertical="top" wrapText="1"/>
    </xf>
    <xf numFmtId="168" fontId="9" fillId="0" borderId="17" xfId="46" applyNumberFormat="1" applyFont="1" applyBorder="1" applyAlignment="1">
      <alignment horizontal="center" vertical="top" wrapText="1"/>
    </xf>
    <xf numFmtId="0" fontId="1" fillId="0" borderId="1" xfId="58" applyBorder="1" applyAlignment="1">
      <alignment horizontal="center"/>
      <protection/>
    </xf>
    <xf numFmtId="169" fontId="1" fillId="0" borderId="1" xfId="58" applyNumberFormat="1" applyBorder="1">
      <alignment/>
      <protection/>
    </xf>
    <xf numFmtId="169" fontId="1" fillId="0" borderId="0" xfId="58" applyNumberFormat="1">
      <alignment/>
      <protection/>
    </xf>
    <xf numFmtId="168" fontId="9" fillId="0" borderId="1" xfId="46" applyNumberFormat="1" applyFont="1" applyBorder="1" applyAlignment="1">
      <alignment/>
    </xf>
    <xf numFmtId="0" fontId="1" fillId="0" borderId="1" xfId="58" applyBorder="1">
      <alignment/>
      <protection/>
    </xf>
    <xf numFmtId="0" fontId="11" fillId="0" borderId="1" xfId="58" applyFont="1" applyBorder="1">
      <alignment/>
      <protection/>
    </xf>
    <xf numFmtId="44" fontId="11" fillId="0" borderId="1" xfId="65" applyFont="1" applyBorder="1" applyAlignment="1">
      <alignment/>
    </xf>
    <xf numFmtId="44" fontId="11" fillId="0" borderId="1" xfId="58" applyNumberFormat="1" applyFont="1" applyBorder="1">
      <alignment/>
      <protection/>
    </xf>
    <xf numFmtId="1" fontId="1" fillId="0" borderId="1" xfId="58" applyNumberFormat="1" applyBorder="1">
      <alignment/>
      <protection/>
    </xf>
    <xf numFmtId="166" fontId="1" fillId="0" borderId="0" xfId="58" applyNumberFormat="1">
      <alignment/>
      <protection/>
    </xf>
    <xf numFmtId="167" fontId="0" fillId="36" borderId="0" xfId="0" applyNumberFormat="1" applyFill="1" applyAlignment="1">
      <alignment/>
    </xf>
    <xf numFmtId="170" fontId="0" fillId="36" borderId="0" xfId="64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70" fontId="0" fillId="35" borderId="14" xfId="64" applyNumberFormat="1" applyFont="1" applyFill="1" applyBorder="1" applyAlignment="1">
      <alignment/>
    </xf>
    <xf numFmtId="0" fontId="6" fillId="14" borderId="0" xfId="0" applyFont="1" applyFill="1" applyAlignment="1">
      <alignment/>
    </xf>
    <xf numFmtId="0" fontId="0" fillId="5" borderId="1" xfId="0" applyFill="1" applyBorder="1" applyAlignment="1">
      <alignment/>
    </xf>
    <xf numFmtId="0" fontId="6" fillId="5" borderId="10" xfId="0" applyFont="1" applyFill="1" applyBorder="1" applyAlignment="1">
      <alignment/>
    </xf>
    <xf numFmtId="14" fontId="8" fillId="0" borderId="0" xfId="0" applyNumberFormat="1" applyFont="1" applyAlignment="1">
      <alignment horizontal="center"/>
    </xf>
    <xf numFmtId="171" fontId="0" fillId="35" borderId="0" xfId="64" applyNumberFormat="1" applyFont="1" applyFill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 horizontal="center"/>
    </xf>
    <xf numFmtId="0" fontId="43" fillId="35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164" fontId="6" fillId="0" borderId="0" xfId="64" applyFont="1" applyAlignment="1">
      <alignment/>
    </xf>
    <xf numFmtId="0" fontId="6" fillId="0" borderId="0" xfId="0" applyFont="1" applyAlignment="1">
      <alignment horizontal="right"/>
    </xf>
    <xf numFmtId="172" fontId="0" fillId="0" borderId="0" xfId="0" applyNumberFormat="1" applyAlignment="1">
      <alignment/>
    </xf>
    <xf numFmtId="0" fontId="6" fillId="0" borderId="21" xfId="0" applyFont="1" applyBorder="1" applyAlignment="1">
      <alignment horizontal="center" vertical="top"/>
    </xf>
    <xf numFmtId="0" fontId="0" fillId="0" borderId="0" xfId="0" applyNumberFormat="1" applyAlignment="1">
      <alignment/>
    </xf>
    <xf numFmtId="164" fontId="0" fillId="37" borderId="0" xfId="64" applyFont="1" applyFill="1" applyAlignment="1">
      <alignment horizontal="center"/>
    </xf>
    <xf numFmtId="170" fontId="0" fillId="0" borderId="0" xfId="64" applyNumberFormat="1" applyFont="1" applyAlignment="1">
      <alignment/>
    </xf>
    <xf numFmtId="170" fontId="0" fillId="37" borderId="1" xfId="64" applyNumberFormat="1" applyFont="1" applyFill="1" applyBorder="1" applyAlignment="1">
      <alignment/>
    </xf>
    <xf numFmtId="2" fontId="0" fillId="18" borderId="0" xfId="0" applyNumberFormat="1" applyFill="1" applyAlignment="1">
      <alignment/>
    </xf>
    <xf numFmtId="44" fontId="0" fillId="18" borderId="0" xfId="0" applyNumberFormat="1" applyFill="1" applyAlignment="1">
      <alignment horizontal="center"/>
    </xf>
    <xf numFmtId="2" fontId="0" fillId="18" borderId="0" xfId="0" applyNumberFormat="1" applyFill="1" applyAlignment="1">
      <alignment horizontal="center"/>
    </xf>
    <xf numFmtId="170" fontId="0" fillId="37" borderId="0" xfId="64" applyNumberFormat="1" applyFont="1" applyFill="1" applyBorder="1" applyAlignment="1">
      <alignment/>
    </xf>
    <xf numFmtId="2" fontId="8" fillId="18" borderId="0" xfId="0" applyNumberFormat="1" applyFont="1" applyFill="1" applyAlignment="1">
      <alignment/>
    </xf>
    <xf numFmtId="164" fontId="8" fillId="0" borderId="0" xfId="64" applyFont="1" applyAlignment="1">
      <alignment/>
    </xf>
    <xf numFmtId="0" fontId="0" fillId="5" borderId="0" xfId="0" applyFill="1" applyBorder="1" applyAlignment="1">
      <alignment/>
    </xf>
    <xf numFmtId="180" fontId="0" fillId="36" borderId="1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36" borderId="0" xfId="0" applyFill="1" applyBorder="1" applyAlignment="1">
      <alignment/>
    </xf>
    <xf numFmtId="0" fontId="0" fillId="38" borderId="0" xfId="0" applyFill="1" applyAlignment="1">
      <alignment horizontal="center"/>
    </xf>
    <xf numFmtId="0" fontId="0" fillId="39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40" borderId="1" xfId="0" applyFill="1" applyBorder="1" applyAlignment="1">
      <alignment horizontal="center"/>
    </xf>
    <xf numFmtId="0" fontId="6" fillId="38" borderId="1" xfId="0" applyFont="1" applyFill="1" applyBorder="1" applyAlignment="1">
      <alignment horizontal="center"/>
    </xf>
    <xf numFmtId="0" fontId="6" fillId="39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6" fillId="40" borderId="1" xfId="0" applyFont="1" applyFill="1" applyBorder="1" applyAlignment="1">
      <alignment horizontal="center"/>
    </xf>
    <xf numFmtId="44" fontId="13" fillId="38" borderId="1" xfId="0" applyNumberFormat="1" applyFont="1" applyFill="1" applyBorder="1" applyAlignment="1">
      <alignment horizontal="center"/>
    </xf>
    <xf numFmtId="2" fontId="13" fillId="38" borderId="1" xfId="0" applyNumberFormat="1" applyFont="1" applyFill="1" applyBorder="1" applyAlignment="1">
      <alignment horizontal="center"/>
    </xf>
    <xf numFmtId="44" fontId="13" fillId="39" borderId="1" xfId="0" applyNumberFormat="1" applyFont="1" applyFill="1" applyBorder="1" applyAlignment="1">
      <alignment horizontal="center"/>
    </xf>
    <xf numFmtId="2" fontId="13" fillId="39" borderId="1" xfId="0" applyNumberFormat="1" applyFont="1" applyFill="1" applyBorder="1" applyAlignment="1">
      <alignment horizontal="center"/>
    </xf>
    <xf numFmtId="44" fontId="13" fillId="16" borderId="1" xfId="0" applyNumberFormat="1" applyFont="1" applyFill="1" applyBorder="1" applyAlignment="1">
      <alignment horizontal="center"/>
    </xf>
    <xf numFmtId="2" fontId="13" fillId="16" borderId="1" xfId="0" applyNumberFormat="1" applyFont="1" applyFill="1" applyBorder="1" applyAlignment="1">
      <alignment horizontal="center"/>
    </xf>
    <xf numFmtId="44" fontId="13" fillId="40" borderId="1" xfId="0" applyNumberFormat="1" applyFont="1" applyFill="1" applyBorder="1" applyAlignment="1">
      <alignment horizontal="center"/>
    </xf>
    <xf numFmtId="2" fontId="13" fillId="40" borderId="1" xfId="0" applyNumberFormat="1" applyFont="1" applyFill="1" applyBorder="1" applyAlignment="1">
      <alignment horizontal="center"/>
    </xf>
    <xf numFmtId="0" fontId="0" fillId="5" borderId="17" xfId="0" applyFill="1" applyBorder="1" applyAlignment="1">
      <alignment/>
    </xf>
    <xf numFmtId="164" fontId="0" fillId="5" borderId="1" xfId="64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81" fontId="0" fillId="36" borderId="23" xfId="0" applyNumberFormat="1" applyFill="1" applyBorder="1" applyAlignment="1">
      <alignment/>
    </xf>
    <xf numFmtId="181" fontId="0" fillId="0" borderId="0" xfId="0" applyNumberFormat="1" applyAlignment="1">
      <alignment/>
    </xf>
    <xf numFmtId="181" fontId="0" fillId="36" borderId="1" xfId="0" applyNumberFormat="1" applyFill="1" applyBorder="1" applyAlignment="1">
      <alignment/>
    </xf>
    <xf numFmtId="180" fontId="16" fillId="36" borderId="23" xfId="0" applyNumberFormat="1" applyFont="1" applyFill="1" applyBorder="1" applyAlignment="1">
      <alignment/>
    </xf>
    <xf numFmtId="179" fontId="16" fillId="36" borderId="23" xfId="0" applyNumberFormat="1" applyFont="1" applyFill="1" applyBorder="1" applyAlignment="1">
      <alignment/>
    </xf>
    <xf numFmtId="181" fontId="16" fillId="36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180" fontId="8" fillId="36" borderId="1" xfId="0" applyNumberFormat="1" applyFont="1" applyFill="1" applyBorder="1" applyAlignment="1">
      <alignment/>
    </xf>
    <xf numFmtId="181" fontId="8" fillId="36" borderId="1" xfId="0" applyNumberFormat="1" applyFont="1" applyFill="1" applyBorder="1" applyAlignment="1">
      <alignment/>
    </xf>
    <xf numFmtId="181" fontId="8" fillId="0" borderId="0" xfId="0" applyNumberFormat="1" applyFont="1" applyAlignment="1">
      <alignment/>
    </xf>
    <xf numFmtId="0" fontId="0" fillId="39" borderId="1" xfId="0" applyFill="1" applyBorder="1" applyAlignment="1">
      <alignment/>
    </xf>
    <xf numFmtId="0" fontId="6" fillId="39" borderId="1" xfId="0" applyFont="1" applyFill="1" applyBorder="1" applyAlignment="1">
      <alignment/>
    </xf>
    <xf numFmtId="0" fontId="0" fillId="16" borderId="1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7" xfId="0" applyFill="1" applyBorder="1" applyAlignment="1">
      <alignment/>
    </xf>
    <xf numFmtId="0" fontId="0" fillId="36" borderId="0" xfId="0" applyNumberFormat="1" applyFill="1" applyBorder="1" applyAlignment="1">
      <alignment/>
    </xf>
    <xf numFmtId="0" fontId="8" fillId="36" borderId="0" xfId="0" applyNumberFormat="1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44" fontId="0" fillId="0" borderId="0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40" borderId="1" xfId="0" applyFill="1" applyBorder="1" applyAlignment="1">
      <alignment/>
    </xf>
    <xf numFmtId="0" fontId="6" fillId="16" borderId="1" xfId="0" applyFont="1" applyFill="1" applyBorder="1" applyAlignment="1">
      <alignment/>
    </xf>
    <xf numFmtId="0" fontId="6" fillId="16" borderId="1" xfId="0" applyNumberFormat="1" applyFont="1" applyFill="1" applyBorder="1" applyAlignment="1">
      <alignment/>
    </xf>
    <xf numFmtId="0" fontId="6" fillId="40" borderId="1" xfId="0" applyNumberFormat="1" applyFont="1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36" borderId="16" xfId="0" applyFill="1" applyBorder="1" applyAlignment="1">
      <alignment/>
    </xf>
    <xf numFmtId="0" fontId="6" fillId="0" borderId="14" xfId="0" applyFont="1" applyBorder="1" applyAlignment="1">
      <alignment/>
    </xf>
    <xf numFmtId="0" fontId="0" fillId="36" borderId="20" xfId="0" applyFill="1" applyBorder="1" applyAlignment="1">
      <alignment/>
    </xf>
    <xf numFmtId="0" fontId="0" fillId="0" borderId="25" xfId="0" applyBorder="1" applyAlignment="1">
      <alignment/>
    </xf>
    <xf numFmtId="2" fontId="6" fillId="0" borderId="19" xfId="0" applyNumberFormat="1" applyFont="1" applyBorder="1" applyAlignment="1">
      <alignment/>
    </xf>
    <xf numFmtId="0" fontId="0" fillId="36" borderId="26" xfId="0" applyFill="1" applyBorder="1" applyAlignment="1">
      <alignment/>
    </xf>
    <xf numFmtId="0" fontId="12" fillId="0" borderId="21" xfId="0" applyFont="1" applyBorder="1" applyAlignment="1">
      <alignment horizontal="center"/>
    </xf>
    <xf numFmtId="10" fontId="0" fillId="36" borderId="27" xfId="0" applyNumberFormat="1" applyFill="1" applyBorder="1" applyAlignment="1">
      <alignment/>
    </xf>
    <xf numFmtId="10" fontId="8" fillId="0" borderId="28" xfId="64" applyNumberFormat="1" applyFont="1" applyBorder="1" applyAlignment="1">
      <alignment/>
    </xf>
    <xf numFmtId="164" fontId="12" fillId="0" borderId="7" xfId="64" applyFont="1" applyBorder="1" applyAlignment="1">
      <alignment/>
    </xf>
    <xf numFmtId="10" fontId="8" fillId="0" borderId="12" xfId="64" applyNumberFormat="1" applyFont="1" applyBorder="1" applyAlignment="1">
      <alignment/>
    </xf>
    <xf numFmtId="10" fontId="0" fillId="0" borderId="8" xfId="0" applyNumberFormat="1" applyBorder="1" applyAlignment="1">
      <alignment/>
    </xf>
    <xf numFmtId="2" fontId="6" fillId="0" borderId="7" xfId="0" applyNumberFormat="1" applyFont="1" applyBorder="1" applyAlignment="1">
      <alignment/>
    </xf>
    <xf numFmtId="0" fontId="0" fillId="36" borderId="1" xfId="0" applyFill="1" applyBorder="1" applyAlignment="1">
      <alignment/>
    </xf>
    <xf numFmtId="44" fontId="0" fillId="36" borderId="1" xfId="0" applyNumberFormat="1" applyFill="1" applyBorder="1" applyAlignment="1">
      <alignment/>
    </xf>
    <xf numFmtId="0" fontId="1" fillId="0" borderId="0" xfId="58" applyBorder="1">
      <alignment/>
      <protection/>
    </xf>
    <xf numFmtId="0" fontId="1" fillId="41" borderId="0" xfId="58" applyFill="1">
      <alignment/>
      <protection/>
    </xf>
    <xf numFmtId="0" fontId="1" fillId="41" borderId="0" xfId="58" applyFill="1" applyBorder="1">
      <alignment/>
      <protection/>
    </xf>
    <xf numFmtId="0" fontId="9" fillId="41" borderId="0" xfId="58" applyFont="1" applyFill="1">
      <alignment/>
      <protection/>
    </xf>
    <xf numFmtId="0" fontId="0" fillId="41" borderId="0" xfId="0" applyFill="1" applyAlignment="1">
      <alignment/>
    </xf>
    <xf numFmtId="0" fontId="1" fillId="0" borderId="0" xfId="58" applyAlignment="1">
      <alignment wrapText="1"/>
      <protection/>
    </xf>
    <xf numFmtId="0" fontId="5" fillId="0" borderId="0" xfId="58" applyFont="1">
      <alignment/>
      <protection/>
    </xf>
    <xf numFmtId="2" fontId="1" fillId="0" borderId="0" xfId="58" applyNumberFormat="1">
      <alignment/>
      <protection/>
    </xf>
    <xf numFmtId="0" fontId="1" fillId="42" borderId="0" xfId="58" applyFill="1">
      <alignment/>
      <protection/>
    </xf>
    <xf numFmtId="0" fontId="5" fillId="0" borderId="0" xfId="58" applyFont="1" applyBorder="1">
      <alignment/>
      <protection/>
    </xf>
    <xf numFmtId="2" fontId="1" fillId="0" borderId="0" xfId="58" applyNumberFormat="1" applyBorder="1">
      <alignment/>
      <protection/>
    </xf>
    <xf numFmtId="2" fontId="9" fillId="0" borderId="0" xfId="58" applyNumberFormat="1" applyFont="1">
      <alignment/>
      <protection/>
    </xf>
    <xf numFmtId="2" fontId="5" fillId="0" borderId="0" xfId="58" applyNumberFormat="1" applyFont="1" applyBorder="1">
      <alignment/>
      <protection/>
    </xf>
    <xf numFmtId="2" fontId="5" fillId="0" borderId="0" xfId="58" applyNumberFormat="1" applyFont="1">
      <alignment/>
      <protection/>
    </xf>
    <xf numFmtId="167" fontId="1" fillId="42" borderId="0" xfId="58" applyNumberFormat="1" applyFill="1">
      <alignment/>
      <protection/>
    </xf>
    <xf numFmtId="167" fontId="1" fillId="0" borderId="0" xfId="58" applyNumberFormat="1">
      <alignment/>
      <protection/>
    </xf>
    <xf numFmtId="0" fontId="1" fillId="0" borderId="0" xfId="58" applyFill="1">
      <alignment/>
      <protection/>
    </xf>
    <xf numFmtId="14" fontId="6" fillId="35" borderId="14" xfId="0" applyNumberFormat="1" applyFont="1" applyFill="1" applyBorder="1" applyAlignment="1">
      <alignment horizontal="center"/>
    </xf>
    <xf numFmtId="2" fontId="14" fillId="35" borderId="29" xfId="58" applyNumberFormat="1" applyFont="1" applyFill="1" applyBorder="1">
      <alignment/>
      <protection/>
    </xf>
    <xf numFmtId="2" fontId="14" fillId="36" borderId="0" xfId="58" applyNumberFormat="1" applyFont="1" applyFill="1" applyBorder="1">
      <alignment/>
      <protection/>
    </xf>
    <xf numFmtId="0" fontId="1" fillId="43" borderId="0" xfId="58" applyFill="1">
      <alignment/>
      <protection/>
    </xf>
    <xf numFmtId="2" fontId="1" fillId="41" borderId="0" xfId="58" applyNumberFormat="1" applyFill="1" applyBorder="1">
      <alignment/>
      <protection/>
    </xf>
    <xf numFmtId="2" fontId="9" fillId="41" borderId="0" xfId="58" applyNumberFormat="1" applyFont="1" applyFill="1">
      <alignment/>
      <protection/>
    </xf>
    <xf numFmtId="2" fontId="14" fillId="41" borderId="0" xfId="58" applyNumberFormat="1" applyFont="1" applyFill="1" applyBorder="1">
      <alignment/>
      <protection/>
    </xf>
    <xf numFmtId="0" fontId="14" fillId="35" borderId="0" xfId="58" applyFont="1" applyFill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NumberFormat="1" applyBorder="1" applyAlignment="1">
      <alignment/>
    </xf>
    <xf numFmtId="0" fontId="0" fillId="0" borderId="32" xfId="0" applyBorder="1" applyAlignment="1">
      <alignment/>
    </xf>
    <xf numFmtId="0" fontId="1" fillId="0" borderId="31" xfId="58" applyBorder="1">
      <alignment/>
      <protection/>
    </xf>
    <xf numFmtId="0" fontId="1" fillId="0" borderId="32" xfId="58" applyBorder="1">
      <alignment/>
      <protection/>
    </xf>
    <xf numFmtId="0" fontId="1" fillId="0" borderId="33" xfId="58" applyBorder="1">
      <alignment/>
      <protection/>
    </xf>
    <xf numFmtId="0" fontId="1" fillId="0" borderId="34" xfId="58" applyBorder="1">
      <alignment/>
      <protection/>
    </xf>
    <xf numFmtId="0" fontId="1" fillId="0" borderId="1" xfId="58" applyFill="1" applyBorder="1" applyAlignment="1">
      <alignment horizontal="center"/>
      <protection/>
    </xf>
    <xf numFmtId="169" fontId="1" fillId="0" borderId="0" xfId="58" applyNumberFormat="1" applyFill="1">
      <alignment/>
      <protection/>
    </xf>
    <xf numFmtId="169" fontId="1" fillId="0" borderId="1" xfId="58" applyNumberFormat="1" applyFill="1" applyBorder="1">
      <alignment/>
      <protection/>
    </xf>
    <xf numFmtId="168" fontId="9" fillId="0" borderId="1" xfId="46" applyNumberFormat="1" applyFont="1" applyFill="1" applyBorder="1" applyAlignment="1">
      <alignment/>
    </xf>
    <xf numFmtId="44" fontId="11" fillId="0" borderId="1" xfId="65" applyFont="1" applyFill="1" applyBorder="1" applyAlignment="1">
      <alignment/>
    </xf>
    <xf numFmtId="44" fontId="11" fillId="0" borderId="1" xfId="58" applyNumberFormat="1" applyFont="1" applyFill="1" applyBorder="1">
      <alignment/>
      <protection/>
    </xf>
    <xf numFmtId="0" fontId="15" fillId="0" borderId="36" xfId="58" applyFont="1" applyBorder="1" applyAlignment="1">
      <alignment horizontal="center" vertical="center"/>
      <protection/>
    </xf>
    <xf numFmtId="2" fontId="6" fillId="35" borderId="37" xfId="0" applyNumberFormat="1" applyFont="1" applyFill="1" applyBorder="1" applyAlignment="1">
      <alignment horizontal="center"/>
    </xf>
    <xf numFmtId="2" fontId="6" fillId="35" borderId="38" xfId="0" applyNumberFormat="1" applyFont="1" applyFill="1" applyBorder="1" applyAlignment="1">
      <alignment horizontal="center"/>
    </xf>
    <xf numFmtId="8" fontId="6" fillId="36" borderId="11" xfId="0" applyNumberFormat="1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164" fontId="0" fillId="5" borderId="17" xfId="64" applyFont="1" applyFill="1" applyBorder="1" applyAlignment="1">
      <alignment horizontal="left"/>
    </xf>
    <xf numFmtId="2" fontId="0" fillId="0" borderId="30" xfId="0" applyNumberFormat="1" applyBorder="1" applyAlignment="1">
      <alignment wrapText="1"/>
    </xf>
    <xf numFmtId="0" fontId="12" fillId="0" borderId="35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14" fontId="12" fillId="0" borderId="34" xfId="0" applyNumberFormat="1" applyFont="1" applyBorder="1" applyAlignment="1">
      <alignment horizontal="center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4" fontId="0" fillId="14" borderId="0" xfId="0" applyNumberFormat="1" applyFill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14" fontId="0" fillId="35" borderId="0" xfId="0" applyNumberFormat="1" applyFill="1" applyAlignment="1">
      <alignment/>
    </xf>
    <xf numFmtId="2" fontId="6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6" fontId="0" fillId="35" borderId="0" xfId="57" applyNumberFormat="1" applyFont="1" applyFill="1">
      <alignment/>
      <protection/>
    </xf>
    <xf numFmtId="0" fontId="8" fillId="0" borderId="0" xfId="0" applyFont="1" applyFill="1" applyBorder="1" applyAlignment="1">
      <alignment/>
    </xf>
    <xf numFmtId="0" fontId="4" fillId="34" borderId="1" xfId="57" applyFont="1" applyFill="1" applyBorder="1" applyAlignment="1">
      <alignment horizontal="center"/>
      <protection/>
    </xf>
    <xf numFmtId="0" fontId="4" fillId="44" borderId="1" xfId="57" applyFont="1" applyFill="1" applyBorder="1" applyAlignment="1">
      <alignment horizontal="center"/>
      <protection/>
    </xf>
    <xf numFmtId="4" fontId="0" fillId="0" borderId="1" xfId="57" applyNumberFormat="1" applyFont="1" applyBorder="1">
      <alignment/>
      <protection/>
    </xf>
    <xf numFmtId="0" fontId="0" fillId="0" borderId="1" xfId="0" applyFill="1" applyBorder="1" applyAlignment="1">
      <alignment/>
    </xf>
    <xf numFmtId="0" fontId="44" fillId="0" borderId="1" xfId="58" applyFont="1" applyBorder="1" applyAlignment="1">
      <alignment horizontal="center" vertical="top" wrapText="1"/>
      <protection/>
    </xf>
    <xf numFmtId="0" fontId="10" fillId="0" borderId="1" xfId="58" applyFont="1" applyBorder="1" applyAlignment="1">
      <alignment horizontal="center" vertical="top" wrapText="1"/>
      <protection/>
    </xf>
    <xf numFmtId="0" fontId="1" fillId="45" borderId="15" xfId="58" applyFill="1" applyBorder="1" applyAlignment="1">
      <alignment horizontal="center" vertical="top" wrapText="1"/>
      <protection/>
    </xf>
    <xf numFmtId="0" fontId="1" fillId="45" borderId="17" xfId="58" applyFill="1" applyBorder="1" applyAlignment="1">
      <alignment horizontal="center" vertical="top" wrapText="1"/>
      <protection/>
    </xf>
    <xf numFmtId="0" fontId="1" fillId="0" borderId="15" xfId="58" applyBorder="1" applyAlignment="1">
      <alignment horizontal="center" vertical="top" wrapText="1"/>
      <protection/>
    </xf>
    <xf numFmtId="0" fontId="1" fillId="0" borderId="17" xfId="58" applyBorder="1" applyAlignment="1">
      <alignment horizontal="center" vertical="top" wrapText="1"/>
      <protection/>
    </xf>
    <xf numFmtId="0" fontId="9" fillId="0" borderId="1" xfId="58" applyFont="1" applyBorder="1" applyAlignment="1">
      <alignment horizontal="center" vertical="top" wrapText="1"/>
      <protection/>
    </xf>
    <xf numFmtId="0" fontId="10" fillId="0" borderId="15" xfId="58" applyFont="1" applyBorder="1" applyAlignment="1">
      <alignment horizontal="center" vertical="top" wrapText="1"/>
      <protection/>
    </xf>
    <xf numFmtId="0" fontId="10" fillId="0" borderId="16" xfId="58" applyFont="1" applyBorder="1" applyAlignment="1">
      <alignment horizontal="center" vertical="top" wrapText="1"/>
      <protection/>
    </xf>
    <xf numFmtId="0" fontId="10" fillId="0" borderId="17" xfId="58" applyFont="1" applyBorder="1" applyAlignment="1">
      <alignment horizontal="center" vertical="top" wrapText="1"/>
      <protection/>
    </xf>
    <xf numFmtId="0" fontId="0" fillId="0" borderId="41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46" borderId="17" xfId="0" applyFill="1" applyBorder="1" applyAlignment="1">
      <alignment/>
    </xf>
    <xf numFmtId="0" fontId="12" fillId="0" borderId="42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8" xfId="0" applyFont="1" applyBorder="1" applyAlignment="1">
      <alignment/>
    </xf>
    <xf numFmtId="2" fontId="6" fillId="0" borderId="1" xfId="0" applyNumberFormat="1" applyFont="1" applyFill="1" applyBorder="1" applyAlignment="1">
      <alignment/>
    </xf>
    <xf numFmtId="0" fontId="4" fillId="47" borderId="1" xfId="57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mma 2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7" xfId="55"/>
    <cellStyle name="Standaard 2" xfId="56"/>
    <cellStyle name="Standaard 2 3" xfId="57"/>
    <cellStyle name="Standaard 3" xfId="58"/>
    <cellStyle name="Titel" xfId="59"/>
    <cellStyle name="Totaal" xfId="60"/>
    <cellStyle name="Uitvoer" xfId="61"/>
    <cellStyle name="Currency" xfId="62"/>
    <cellStyle name="Currency [0]" xfId="63"/>
    <cellStyle name="Valuta 2" xfId="64"/>
    <cellStyle name="Valuta 3" xfId="65"/>
    <cellStyle name="Verklarende tekst" xfId="66"/>
    <cellStyle name="Waarschuwingsteks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RRIT-JAN\APPDATA\LOCAL\MICROSOFT\WINDOWS\TEMPORARY%20INTERNET%20FILES\CONTENT.OUTLOOK\3W97WR93\BEREKENINGSSHEET_INTRAPOLATIE_ZL_LEEFTIJD_PP_WZP_THEA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INPUT"/>
      <sheetName val="Berekening en Tabel"/>
    </sheetNames>
    <sheetDataSet>
      <sheetData sheetId="1">
        <row r="2">
          <cell r="G2">
            <v>23213.61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G2" sqref="G2"/>
    </sheetView>
  </sheetViews>
  <sheetFormatPr defaultColWidth="9.140625" defaultRowHeight="12.75"/>
  <cols>
    <col min="3" max="3" width="16.8515625" style="0" customWidth="1"/>
    <col min="4" max="4" width="21.57421875" style="0" customWidth="1"/>
    <col min="5" max="5" width="14.28125" style="0" customWidth="1"/>
    <col min="6" max="6" width="14.57421875" style="0" customWidth="1"/>
    <col min="7" max="12" width="16.28125" style="0" customWidth="1"/>
    <col min="13" max="13" width="20.57421875" style="0" customWidth="1"/>
  </cols>
  <sheetData>
    <row r="1" spans="1:13" ht="12.75">
      <c r="A1" t="s">
        <v>1</v>
      </c>
      <c r="B1" t="s">
        <v>41</v>
      </c>
      <c r="C1" t="s">
        <v>31</v>
      </c>
      <c r="D1" t="s">
        <v>17</v>
      </c>
      <c r="E1" t="s">
        <v>8</v>
      </c>
      <c r="F1" t="s">
        <v>10</v>
      </c>
      <c r="G1" s="5" t="s">
        <v>14</v>
      </c>
      <c r="H1" t="s">
        <v>4</v>
      </c>
      <c r="I1" t="s">
        <v>24</v>
      </c>
      <c r="J1" s="5" t="s">
        <v>45</v>
      </c>
      <c r="K1" t="s">
        <v>25</v>
      </c>
      <c r="L1" t="s">
        <v>15</v>
      </c>
      <c r="M1" t="s">
        <v>23</v>
      </c>
    </row>
    <row r="2" spans="1:13" ht="12.75">
      <c r="A2">
        <f>'Bereken PP|WzP'!C14</f>
        <v>110111</v>
      </c>
      <c r="B2" s="3" t="str">
        <f>input_franchise</f>
        <v>14166,08</v>
      </c>
      <c r="C2" s="3">
        <f>'Bereken PP|WzP'!E14</f>
        <v>95944.92</v>
      </c>
      <c r="D2">
        <v>0</v>
      </c>
      <c r="E2" s="3">
        <f>'Bereken PP|WzP'!O2</f>
        <v>0</v>
      </c>
      <c r="F2" s="3">
        <f>'Bereken PP|WzP'!M6</f>
        <v>2411.4156560000006</v>
      </c>
      <c r="G2" s="3">
        <f>'Premie ASR berekenen'!D16</f>
        <v>0</v>
      </c>
      <c r="H2" s="1">
        <f>output_premie_pj_np</f>
        <v>0</v>
      </c>
      <c r="I2" s="16">
        <f>'Premie ASR berekenen'!L10</f>
        <v>0</v>
      </c>
      <c r="J2" s="3">
        <f>'Premie ASR berekenen'!L20</f>
        <v>20.779406718453124</v>
      </c>
      <c r="K2" s="1">
        <f>output_premie_pj_wzp</f>
        <v>20.779406718453124</v>
      </c>
      <c r="L2">
        <v>0</v>
      </c>
      <c r="M2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K1">
      <selection activeCell="AL2" sqref="AL2"/>
    </sheetView>
  </sheetViews>
  <sheetFormatPr defaultColWidth="27.00390625" defaultRowHeight="12.75"/>
  <cols>
    <col min="1" max="1" width="8.57421875" style="0" customWidth="1"/>
    <col min="2" max="2" width="15.28125" style="0" customWidth="1"/>
    <col min="3" max="3" width="16.28125" style="0" customWidth="1"/>
    <col min="4" max="4" width="13.7109375" style="0" customWidth="1"/>
    <col min="5" max="5" width="20.00390625" style="0" customWidth="1"/>
    <col min="6" max="7" width="15.140625" style="0" customWidth="1"/>
    <col min="8" max="8" width="16.28125" style="0" customWidth="1"/>
    <col min="9" max="9" width="23.140625" style="0" customWidth="1"/>
    <col min="10" max="10" width="15.8515625" style="0" customWidth="1"/>
    <col min="11" max="11" width="21.7109375" style="0" customWidth="1"/>
    <col min="12" max="12" width="15.140625" style="0" customWidth="1"/>
    <col min="13" max="13" width="28.7109375" style="0" customWidth="1"/>
    <col min="14" max="14" width="23.8515625" style="0" customWidth="1"/>
    <col min="15" max="15" width="23.57421875" style="0" customWidth="1"/>
    <col min="16" max="16" width="21.8515625" style="0" customWidth="1"/>
  </cols>
  <sheetData>
    <row r="1" spans="1:45" s="1" customFormat="1" ht="12.75">
      <c r="A1" s="2" t="s">
        <v>16</v>
      </c>
      <c r="B1" s="5" t="s">
        <v>27</v>
      </c>
      <c r="C1" s="5" t="s">
        <v>28</v>
      </c>
      <c r="D1" s="2" t="s">
        <v>46</v>
      </c>
      <c r="E1" s="2" t="s">
        <v>44</v>
      </c>
      <c r="F1" s="2" t="s">
        <v>34</v>
      </c>
      <c r="G1" s="2" t="s">
        <v>40</v>
      </c>
      <c r="H1" s="2" t="s">
        <v>9</v>
      </c>
      <c r="I1" s="2" t="s">
        <v>19</v>
      </c>
      <c r="J1" s="2" t="s">
        <v>39</v>
      </c>
      <c r="K1" s="5" t="s">
        <v>18</v>
      </c>
      <c r="L1" s="2" t="s">
        <v>21</v>
      </c>
      <c r="M1" s="5" t="s">
        <v>6</v>
      </c>
      <c r="N1" s="5" t="s">
        <v>31</v>
      </c>
      <c r="O1" s="2" t="s">
        <v>33</v>
      </c>
      <c r="P1" s="5" t="s">
        <v>42</v>
      </c>
      <c r="Q1" s="5" t="s">
        <v>3</v>
      </c>
      <c r="R1" s="1" t="s">
        <v>22</v>
      </c>
      <c r="S1" s="1" t="s">
        <v>37</v>
      </c>
      <c r="T1" s="1" t="s">
        <v>7</v>
      </c>
      <c r="U1" s="1" t="s">
        <v>32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71" t="s">
        <v>105</v>
      </c>
      <c r="AP1" s="71" t="s">
        <v>106</v>
      </c>
      <c r="AQ1" s="71" t="s">
        <v>107</v>
      </c>
      <c r="AR1" s="1" t="s">
        <v>112</v>
      </c>
      <c r="AS1" s="1" t="s">
        <v>141</v>
      </c>
    </row>
    <row r="2" spans="1:45" ht="12.75">
      <c r="A2" t="s">
        <v>49</v>
      </c>
      <c r="B2" s="4">
        <v>19025</v>
      </c>
      <c r="C2" s="4">
        <v>39904</v>
      </c>
      <c r="D2">
        <v>10000</v>
      </c>
      <c r="E2">
        <v>100</v>
      </c>
      <c r="F2">
        <v>129600</v>
      </c>
      <c r="G2" t="s">
        <v>139</v>
      </c>
      <c r="H2" t="s">
        <v>48</v>
      </c>
      <c r="I2" s="4">
        <v>32874</v>
      </c>
      <c r="J2">
        <v>2</v>
      </c>
      <c r="K2" s="4">
        <v>43913.5119033933</v>
      </c>
      <c r="L2" t="s">
        <v>108</v>
      </c>
      <c r="M2" s="3">
        <v>110111</v>
      </c>
      <c r="N2">
        <f>'Bereken PP|WzP'!E14</f>
        <v>95944.92</v>
      </c>
      <c r="O2">
        <v>3.32</v>
      </c>
      <c r="P2">
        <v>68</v>
      </c>
      <c r="Q2" s="4">
        <v>29221</v>
      </c>
      <c r="R2">
        <v>36526</v>
      </c>
      <c r="V2" s="5"/>
      <c r="Y2">
        <v>100</v>
      </c>
      <c r="Z2">
        <v>0</v>
      </c>
      <c r="AA2">
        <v>100</v>
      </c>
      <c r="AB2">
        <v>0</v>
      </c>
      <c r="AC2">
        <v>0</v>
      </c>
      <c r="AD2" s="5"/>
      <c r="AE2" s="5"/>
      <c r="AF2" s="5"/>
      <c r="AG2" s="5"/>
      <c r="AH2">
        <v>21</v>
      </c>
      <c r="AI2">
        <v>20</v>
      </c>
      <c r="AJ2">
        <v>1.16</v>
      </c>
      <c r="AK2">
        <v>47</v>
      </c>
      <c r="AL2" t="s">
        <v>11</v>
      </c>
      <c r="AM2" s="5"/>
      <c r="AN2">
        <v>110111</v>
      </c>
      <c r="AO2" s="8">
        <v>0</v>
      </c>
      <c r="AP2" s="8">
        <v>0</v>
      </c>
      <c r="AQ2">
        <v>1</v>
      </c>
      <c r="AR2" s="218" t="s">
        <v>134</v>
      </c>
      <c r="AS2">
        <v>1</v>
      </c>
    </row>
    <row r="7" ht="13.5" thickBot="1"/>
    <row r="8" ht="13.5" thickBot="1">
      <c r="N8" s="34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33.57421875" style="0" customWidth="1"/>
    <col min="2" max="2" width="12.7109375" style="0" customWidth="1"/>
    <col min="3" max="4" width="10.140625" style="0" customWidth="1"/>
    <col min="5" max="5" width="15.57421875" style="0" customWidth="1"/>
    <col min="6" max="6" width="10.140625" style="0" customWidth="1"/>
    <col min="7" max="7" width="14.57421875" style="0" customWidth="1"/>
    <col min="8" max="8" width="34.7109375" style="0" customWidth="1"/>
    <col min="9" max="9" width="13.28125" style="0" customWidth="1"/>
    <col min="10" max="10" width="15.57421875" style="0" customWidth="1"/>
    <col min="12" max="12" width="17.00390625" style="0" customWidth="1"/>
    <col min="13" max="13" width="17.57421875" style="0" customWidth="1"/>
    <col min="14" max="14" width="19.140625" style="0" customWidth="1"/>
    <col min="15" max="15" width="13.28125" style="0" customWidth="1"/>
  </cols>
  <sheetData>
    <row r="1" spans="1:15" s="10" customFormat="1" ht="15">
      <c r="A1" s="9" t="s">
        <v>20</v>
      </c>
      <c r="B1" s="9" t="s">
        <v>0</v>
      </c>
      <c r="C1" s="9" t="s">
        <v>11</v>
      </c>
      <c r="D1" s="9"/>
      <c r="E1" s="9"/>
      <c r="F1" s="9"/>
      <c r="G1" s="9" t="s">
        <v>47</v>
      </c>
      <c r="H1" s="9" t="s">
        <v>43</v>
      </c>
      <c r="I1" s="9" t="s">
        <v>30</v>
      </c>
      <c r="J1" s="9"/>
      <c r="K1" s="9" t="s">
        <v>35</v>
      </c>
      <c r="L1" s="9" t="s">
        <v>38</v>
      </c>
      <c r="M1" s="221" t="s">
        <v>137</v>
      </c>
      <c r="N1" s="222" t="s">
        <v>138</v>
      </c>
      <c r="O1" s="242" t="s">
        <v>140</v>
      </c>
    </row>
    <row r="2" spans="1:15" ht="12.75">
      <c r="A2" s="11">
        <f>input_geboortedatum</f>
        <v>19025</v>
      </c>
      <c r="B2">
        <f>input_pensioenleeftijd</f>
        <v>68</v>
      </c>
      <c r="C2" s="11">
        <f>input_datum_in_dienst</f>
        <v>39904</v>
      </c>
      <c r="D2" s="11"/>
      <c r="E2" s="11"/>
      <c r="F2" s="11"/>
      <c r="G2" s="11">
        <f>DATE(YEAR(A2)+B2,MONTH(A2),1)</f>
        <v>43862</v>
      </c>
      <c r="H2" s="12">
        <f>(((YEAR(G2)-YEAR(C2))-1)+((MONTH(G2)-MONTH(C2))+12)/12)</f>
        <v>10.833333333333334</v>
      </c>
      <c r="I2" s="76">
        <f>input_np_perc_per_dj/100</f>
        <v>0.0116</v>
      </c>
      <c r="J2">
        <f>H3*I2</f>
        <v>0.12566666666666668</v>
      </c>
      <c r="K2">
        <f>E14</f>
        <v>95944.92</v>
      </c>
      <c r="L2">
        <f>input_parttime_percentage</f>
        <v>100</v>
      </c>
      <c r="M2" s="223">
        <f>(J2*K2)</f>
        <v>12057.078280000002</v>
      </c>
      <c r="N2" s="224">
        <f>IF([0]!input_burgerlijkestaat="Alleenstaand",0,M2)</f>
        <v>0</v>
      </c>
      <c r="O2" s="241">
        <f>IF(input_bepaalde_partner=1,N2,M2)</f>
        <v>0</v>
      </c>
    </row>
    <row r="3" spans="1:15" ht="12.75">
      <c r="A3" s="11">
        <f>DATE(YEAR(A2),MONTH(A2),1)</f>
        <v>19025</v>
      </c>
      <c r="C3" s="11"/>
      <c r="D3" s="11"/>
      <c r="E3" s="11"/>
      <c r="F3" s="11"/>
      <c r="G3" s="11"/>
      <c r="H3" s="219">
        <f>IF(input_np_max_looptijd=0,H2,IF(H2&gt;input_np_max_looptijd,input_np_max_looptijd,H2))</f>
        <v>10.833333333333334</v>
      </c>
      <c r="I3" s="76"/>
      <c r="M3" s="13"/>
      <c r="N3" s="212"/>
      <c r="O3" s="217"/>
    </row>
    <row r="4" spans="1:15" ht="12.75">
      <c r="A4" s="18" t="s">
        <v>50</v>
      </c>
      <c r="H4" s="7"/>
      <c r="N4" s="212"/>
      <c r="O4" s="217"/>
    </row>
    <row r="5" spans="1:15" ht="15">
      <c r="A5" s="4">
        <f ca="1">IF(input_datum_in_dienst&gt;(DATE(YEAR(TODAY()),1,1)),input_datum_in_dienst,(DATE(YEAR(TODAY()),1,1)))</f>
        <v>43831</v>
      </c>
      <c r="B5" s="210"/>
      <c r="C5" s="23"/>
      <c r="E5" s="23"/>
      <c r="F5" s="23"/>
      <c r="H5" s="9" t="s">
        <v>43</v>
      </c>
      <c r="I5" s="9" t="s">
        <v>30</v>
      </c>
      <c r="J5" s="9"/>
      <c r="K5" s="9" t="s">
        <v>35</v>
      </c>
      <c r="L5" s="9"/>
      <c r="M5" s="9" t="s">
        <v>36</v>
      </c>
      <c r="N5" s="212"/>
      <c r="O5" s="217"/>
    </row>
    <row r="6" spans="1:15" ht="12.75">
      <c r="A6" s="207" t="s">
        <v>135</v>
      </c>
      <c r="B6" s="211"/>
      <c r="C6" s="212">
        <v>12</v>
      </c>
      <c r="D6" s="23"/>
      <c r="E6" s="91"/>
      <c r="F6" s="91"/>
      <c r="H6" s="7">
        <f>H3</f>
        <v>10.833333333333334</v>
      </c>
      <c r="I6" s="14">
        <f>input_wzp_perc_np/100</f>
        <v>0.2</v>
      </c>
      <c r="J6">
        <f>H6*I6</f>
        <v>2.166666666666667</v>
      </c>
      <c r="K6">
        <f>K2</f>
        <v>95944.92</v>
      </c>
      <c r="L6">
        <f>L2</f>
        <v>100</v>
      </c>
      <c r="M6" s="13">
        <f>I6*M2</f>
        <v>2411.4156560000006</v>
      </c>
      <c r="N6" s="212"/>
      <c r="O6" s="217"/>
    </row>
    <row r="7" spans="1:15" ht="12.75">
      <c r="A7" s="209">
        <f>DATEDIF(A3,A5,"ym")</f>
        <v>11</v>
      </c>
      <c r="B7" s="2">
        <f>FLOOR(A7,1)</f>
        <v>11</v>
      </c>
      <c r="C7" s="2"/>
      <c r="E7" s="91"/>
      <c r="F7" s="91"/>
      <c r="H7" s="212"/>
      <c r="I7" s="212"/>
      <c r="J7" s="212"/>
      <c r="N7" s="212"/>
      <c r="O7" s="212"/>
    </row>
    <row r="8" spans="1:10" ht="12.75">
      <c r="A8" s="208">
        <f>DATEDIF(A3,A5,"y")</f>
        <v>67</v>
      </c>
      <c r="B8" s="209"/>
      <c r="C8" s="2">
        <f>C6-B7</f>
        <v>1</v>
      </c>
      <c r="E8" s="91"/>
      <c r="F8" s="91"/>
      <c r="H8" s="212"/>
      <c r="I8" s="212"/>
      <c r="J8" s="212"/>
    </row>
    <row r="9" spans="1:10" ht="13.5" thickBot="1">
      <c r="A9" s="78">
        <f>A8+1</f>
        <v>68</v>
      </c>
      <c r="C9">
        <f>C6-C8</f>
        <v>11</v>
      </c>
      <c r="E9" s="91"/>
      <c r="F9" s="91"/>
      <c r="H9" s="212"/>
      <c r="I9" s="212"/>
      <c r="J9" s="212"/>
    </row>
    <row r="10" spans="1:10" ht="13.5" thickBot="1">
      <c r="A10" s="170" t="str">
        <f>input_geslacht</f>
        <v>Man</v>
      </c>
      <c r="E10" s="91"/>
      <c r="F10" s="91"/>
      <c r="H10" s="220" t="s">
        <v>136</v>
      </c>
      <c r="I10" s="212"/>
      <c r="J10" s="212"/>
    </row>
    <row r="11" ht="13.5" thickBot="1"/>
    <row r="12" spans="1:6" ht="12.75">
      <c r="A12" s="19"/>
      <c r="B12" s="30" t="s">
        <v>70</v>
      </c>
      <c r="C12" s="30"/>
      <c r="D12" s="30" t="s">
        <v>21</v>
      </c>
      <c r="E12" s="30" t="s">
        <v>71</v>
      </c>
      <c r="F12" s="31"/>
    </row>
    <row r="13" spans="1:6" ht="12.75">
      <c r="A13" s="32" t="s">
        <v>72</v>
      </c>
      <c r="B13" s="23"/>
      <c r="C13" s="23">
        <f>IF(input_fulltime_salaris&gt;input_max_pensioensalaris,input_max_pensioensalaris,input_fulltime_salaris)</f>
        <v>110111</v>
      </c>
      <c r="D13" s="23" t="str">
        <f>input_franchise</f>
        <v>14166,08</v>
      </c>
      <c r="E13" s="23">
        <f>C13-D13</f>
        <v>95944.92</v>
      </c>
      <c r="F13" s="33"/>
    </row>
    <row r="14" spans="1:6" ht="13.5" thickBot="1">
      <c r="A14" s="20" t="s">
        <v>73</v>
      </c>
      <c r="B14" s="21">
        <f>input_parttime_percentage</f>
        <v>100</v>
      </c>
      <c r="C14" s="21">
        <f>B14*C13/100</f>
        <v>110111</v>
      </c>
      <c r="D14" s="21">
        <f>D13*B14/100</f>
        <v>14166.08</v>
      </c>
      <c r="E14" s="21">
        <f>C14-D14</f>
        <v>95944.92</v>
      </c>
      <c r="F14" s="22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59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7109375" style="0" bestFit="1" customWidth="1"/>
    <col min="2" max="2" width="11.7109375" style="0" customWidth="1"/>
    <col min="3" max="3" width="13.8515625" style="0" bestFit="1" customWidth="1"/>
    <col min="4" max="4" width="14.57421875" style="0" bestFit="1" customWidth="1"/>
    <col min="5" max="5" width="17.8515625" style="0" bestFit="1" customWidth="1"/>
    <col min="6" max="6" width="16.57421875" style="0" customWidth="1"/>
    <col min="7" max="7" width="14.7109375" style="0" bestFit="1" customWidth="1"/>
    <col min="8" max="8" width="12.7109375" style="0" customWidth="1"/>
    <col min="9" max="9" width="12.57421875" style="0" bestFit="1" customWidth="1"/>
    <col min="10" max="10" width="13.8515625" style="0" bestFit="1" customWidth="1"/>
    <col min="11" max="11" width="14.57421875" style="0" bestFit="1" customWidth="1"/>
    <col min="12" max="12" width="17.8515625" style="0" bestFit="1" customWidth="1"/>
    <col min="13" max="13" width="17.7109375" style="0" customWidth="1"/>
    <col min="14" max="14" width="15.8515625" style="0" customWidth="1"/>
    <col min="15" max="15" width="14.7109375" style="0" customWidth="1"/>
    <col min="16" max="16" width="13.57421875" style="0" customWidth="1"/>
    <col min="17" max="17" width="14.140625" style="0" customWidth="1"/>
    <col min="18" max="18" width="11.00390625" style="0" customWidth="1"/>
    <col min="19" max="19" width="14.28125" style="0" customWidth="1"/>
    <col min="20" max="20" width="14.00390625" style="0" customWidth="1"/>
    <col min="59" max="59" width="15.28125" style="0" customWidth="1"/>
  </cols>
  <sheetData>
    <row r="1" spans="1:20" ht="12.75">
      <c r="A1" t="s">
        <v>133</v>
      </c>
      <c r="C1" s="77" t="s">
        <v>113</v>
      </c>
      <c r="E1" s="72">
        <v>12</v>
      </c>
      <c r="I1" s="75" t="s">
        <v>110</v>
      </c>
      <c r="J1" s="144" t="s">
        <v>109</v>
      </c>
      <c r="K1" s="6"/>
      <c r="M1" s="91"/>
      <c r="N1" s="127"/>
      <c r="O1" s="91"/>
      <c r="P1" s="91"/>
      <c r="Q1" s="91"/>
      <c r="R1" s="23"/>
      <c r="S1" s="23"/>
      <c r="T1" s="23"/>
    </row>
    <row r="2" spans="1:20" ht="13.5" thickBot="1">
      <c r="A2" s="213">
        <f>input_geboortedatum</f>
        <v>19025</v>
      </c>
      <c r="B2" s="6" t="s">
        <v>13</v>
      </c>
      <c r="C2" s="201" t="str">
        <f>input_stijgende_uitkering</f>
        <v>3</v>
      </c>
      <c r="D2" s="2"/>
      <c r="E2" s="6" t="s">
        <v>99</v>
      </c>
      <c r="F2" s="6" t="s">
        <v>100</v>
      </c>
      <c r="G2" s="6" t="s">
        <v>2</v>
      </c>
      <c r="H2" s="6"/>
      <c r="I2" s="6">
        <f>input_Correctiepercentage</f>
        <v>1</v>
      </c>
      <c r="J2" s="145">
        <f>input_Kortingspercentage_NP/100</f>
        <v>0</v>
      </c>
      <c r="L2" s="16"/>
      <c r="M2" s="91"/>
      <c r="N2" s="128"/>
      <c r="O2" s="91"/>
      <c r="P2" s="129"/>
      <c r="Q2" s="91"/>
      <c r="R2" s="23"/>
      <c r="S2" s="23"/>
      <c r="T2" s="23"/>
    </row>
    <row r="3" spans="1:20" ht="13.5" thickBot="1">
      <c r="A3" s="4">
        <f>DATE(YEAR(A2),MONTH(A2),1)</f>
        <v>19025</v>
      </c>
      <c r="B3" s="1">
        <f>ROUND((((YEAR(A10)-YEAR(A3))-1)+((MONTH(A10)-MONTH(A3))+12)/12),2)</f>
        <v>67.92</v>
      </c>
      <c r="C3" s="2"/>
      <c r="D3" s="61" t="s">
        <v>102</v>
      </c>
      <c r="E3" s="62">
        <f>E4*$E$1</f>
        <v>157.31164922054</v>
      </c>
      <c r="F3" s="62">
        <f>F4*$E$1</f>
        <v>73.42647917696212</v>
      </c>
      <c r="G3" s="29">
        <f>'Bereken PP|WzP'!M2</f>
        <v>12057.078280000002</v>
      </c>
      <c r="H3" s="79" t="s">
        <v>49</v>
      </c>
      <c r="I3" s="79" t="s">
        <v>48</v>
      </c>
      <c r="J3" s="146">
        <f>IF(input_Kortingspercentage_NP=0,0.001,J2)</f>
        <v>0.001</v>
      </c>
      <c r="K3" s="83" t="s">
        <v>114</v>
      </c>
      <c r="L3" s="84" t="s">
        <v>115</v>
      </c>
      <c r="M3" s="91"/>
      <c r="N3" s="127"/>
      <c r="O3" s="91"/>
      <c r="P3" s="91"/>
      <c r="Q3" s="91"/>
      <c r="R3" s="130"/>
      <c r="S3" s="23"/>
      <c r="T3" s="23"/>
    </row>
    <row r="4" spans="1:20" ht="12.75">
      <c r="A4" s="4"/>
      <c r="B4" s="214">
        <f>DATEDIF(A3,A5,"y")</f>
        <v>67</v>
      </c>
      <c r="C4" s="2">
        <f>'Bereken PP|WzP'!C8</f>
        <v>1</v>
      </c>
      <c r="D4" s="61" t="s">
        <v>101</v>
      </c>
      <c r="E4" s="59">
        <f>VLOOKUP(B4,A54:BI106,2,TRUE)</f>
        <v>13.109304101711666</v>
      </c>
      <c r="F4" s="60">
        <f>VLOOKUP(B4,A54:BI106,3,TRUE)</f>
        <v>6.118873264746844</v>
      </c>
      <c r="G4" s="15"/>
      <c r="H4" s="80">
        <f>C4/$E$1*E4</f>
        <v>1.092442008475972</v>
      </c>
      <c r="I4" s="80">
        <f>C4/$E$1*F4</f>
        <v>0.5099061053955702</v>
      </c>
      <c r="K4" s="17"/>
      <c r="M4" s="91"/>
      <c r="N4" s="91"/>
      <c r="O4" s="91"/>
      <c r="P4" s="91"/>
      <c r="Q4" s="91"/>
      <c r="R4" s="23"/>
      <c r="S4" s="23"/>
      <c r="T4" s="23"/>
    </row>
    <row r="5" spans="1:20" ht="13.5" thickBot="1">
      <c r="A5" s="216">
        <f ca="1">IF(input_datum_in_dienst&gt;(DATE(YEAR(TODAY()),1,1)),input_datum_in_dienst,(DATE(YEAR(TODAY()),1,1)))</f>
        <v>43831</v>
      </c>
      <c r="B5" s="215">
        <f>B4+1</f>
        <v>68</v>
      </c>
      <c r="C5" s="2">
        <f>'Bereken PP|WzP'!C9</f>
        <v>11</v>
      </c>
      <c r="D5" s="61" t="s">
        <v>101</v>
      </c>
      <c r="E5" s="59">
        <f>VLOOKUP(B5,A54:BI106,2,TRUE)</f>
        <v>13.109304101711666</v>
      </c>
      <c r="F5" s="60">
        <f>VLOOKUP(B5,A54:BI106,3,TRUE)</f>
        <v>6.118873264746844</v>
      </c>
      <c r="G5" s="15"/>
      <c r="H5" s="80">
        <f>C5/$E$1*E5</f>
        <v>12.016862093235694</v>
      </c>
      <c r="I5" s="80">
        <f>C5/$E$1*F5</f>
        <v>5.608967159351273</v>
      </c>
      <c r="J5" s="74"/>
      <c r="K5" s="17"/>
      <c r="M5" s="91"/>
      <c r="N5" s="91"/>
      <c r="O5" s="91"/>
      <c r="P5" s="91"/>
      <c r="Q5" s="91"/>
      <c r="R5" s="23"/>
      <c r="S5" s="23"/>
      <c r="T5" s="23"/>
    </row>
    <row r="6" spans="1:20" ht="12.75">
      <c r="A6" s="4"/>
      <c r="B6" s="1"/>
      <c r="C6" s="2"/>
      <c r="D6" s="61"/>
      <c r="E6" s="59"/>
      <c r="F6" s="60"/>
      <c r="G6" s="15"/>
      <c r="H6" s="81">
        <f>SUM(H4:H5)</f>
        <v>13.109304101711666</v>
      </c>
      <c r="I6" s="81">
        <f>SUM(I4:I5)</f>
        <v>6.118873264746844</v>
      </c>
      <c r="J6" s="15" t="s">
        <v>116</v>
      </c>
      <c r="K6" s="82">
        <f>($G$3*H6)/1000</f>
        <v>158.05990575066267</v>
      </c>
      <c r="L6" s="82">
        <f>(($G$3*I6)/1000)</f>
        <v>73.77573393845186</v>
      </c>
      <c r="M6" s="91"/>
      <c r="N6" s="91"/>
      <c r="O6" s="91"/>
      <c r="P6" s="91"/>
      <c r="Q6" s="91"/>
      <c r="R6" s="23"/>
      <c r="S6" s="23"/>
      <c r="T6" s="23"/>
    </row>
    <row r="7" spans="1:20" ht="13.5" thickBot="1">
      <c r="A7" s="4"/>
      <c r="B7" s="1"/>
      <c r="C7" s="2"/>
      <c r="D7" s="61"/>
      <c r="E7" s="59"/>
      <c r="F7" s="60"/>
      <c r="G7" s="15"/>
      <c r="H7" s="85"/>
      <c r="I7" s="85"/>
      <c r="J7" s="87" t="s">
        <v>109</v>
      </c>
      <c r="K7" s="86">
        <f>$J$3*K6</f>
        <v>0.15805990575066267</v>
      </c>
      <c r="L7" s="86">
        <f>$J$3*L6</f>
        <v>0.07377573393845187</v>
      </c>
      <c r="M7" s="91"/>
      <c r="N7" s="91"/>
      <c r="O7" s="93" t="s">
        <v>49</v>
      </c>
      <c r="P7" s="93" t="s">
        <v>48</v>
      </c>
      <c r="Q7" s="94" t="s">
        <v>49</v>
      </c>
      <c r="R7" s="94" t="s">
        <v>48</v>
      </c>
      <c r="S7" s="96" t="s">
        <v>49</v>
      </c>
      <c r="T7" s="96" t="s">
        <v>48</v>
      </c>
    </row>
    <row r="8" spans="1:20" ht="13.5" thickBot="1">
      <c r="A8" s="4"/>
      <c r="B8" s="1"/>
      <c r="C8" s="2"/>
      <c r="D8" s="61"/>
      <c r="E8" s="59"/>
      <c r="F8" s="60"/>
      <c r="G8" s="15"/>
      <c r="H8" s="15"/>
      <c r="I8" s="15"/>
      <c r="J8" s="15" t="s">
        <v>117</v>
      </c>
      <c r="K8" s="1">
        <f>K6-K7</f>
        <v>157.901845844912</v>
      </c>
      <c r="L8" s="1">
        <f>L6-L7</f>
        <v>73.70195820451342</v>
      </c>
      <c r="M8" s="197" t="s">
        <v>119</v>
      </c>
      <c r="N8" s="91"/>
      <c r="O8" s="122">
        <f>F13/$E$1*C4</f>
        <v>0.04492564805247315</v>
      </c>
      <c r="P8" s="122">
        <f>F15/$E$1*C4</f>
        <v>0.04118184404810039</v>
      </c>
      <c r="Q8" s="124">
        <f>H13/$E$1*C4</f>
        <v>0.08236368809620077</v>
      </c>
      <c r="R8" s="124">
        <f>H15/$E$1*C4</f>
        <v>0.0898512961049463</v>
      </c>
      <c r="S8" s="132">
        <f>I13/$E$1*C4</f>
        <v>0.09733890411369184</v>
      </c>
      <c r="T8" s="132">
        <f>I15/$E$1*C4</f>
        <v>0.1010827081180646</v>
      </c>
    </row>
    <row r="9" spans="1:20" ht="13.5" thickBot="1">
      <c r="A9" s="4"/>
      <c r="B9" s="1"/>
      <c r="C9" s="2"/>
      <c r="D9" s="61"/>
      <c r="E9" s="59"/>
      <c r="F9" s="60"/>
      <c r="G9" s="15"/>
      <c r="H9" s="15"/>
      <c r="I9" s="15"/>
      <c r="J9" s="15" t="s">
        <v>118</v>
      </c>
      <c r="K9" s="150">
        <f>$E$1*K8</f>
        <v>1894.822150138944</v>
      </c>
      <c r="L9" s="142">
        <f>$E$1*L8</f>
        <v>884.4234984541611</v>
      </c>
      <c r="M9" s="198">
        <f>IF('Bereken PP|WzP'!A10="Man",K9,L9)</f>
        <v>1894.822150138944</v>
      </c>
      <c r="N9" s="91"/>
      <c r="O9" s="122">
        <f>F14/$E$1*C5</f>
        <v>0.49418212857720467</v>
      </c>
      <c r="P9" s="122">
        <f>F16/$E$1*C5</f>
        <v>0.45300028452910424</v>
      </c>
      <c r="Q9" s="124">
        <f>H14/$E$1*C5</f>
        <v>0.9060005690582085</v>
      </c>
      <c r="R9" s="124">
        <f>H16/$E$1*C5</f>
        <v>0.9883642571544093</v>
      </c>
      <c r="S9" s="132">
        <f>I14/$E$1*C5</f>
        <v>1.0707279452506102</v>
      </c>
      <c r="T9" s="132">
        <f>I16/$E$1*C5</f>
        <v>1.1119097892987104</v>
      </c>
    </row>
    <row r="10" spans="1:20" ht="13.5" thickBot="1">
      <c r="A10" s="4">
        <f ca="1">IF(input_datum_in_dienst&gt;(DATE(YEAR(TODAY()),1,1)),input_datum_in_dienst,(DATE(YEAR(TODAY()),1,1)))</f>
        <v>43831</v>
      </c>
      <c r="B10" s="4"/>
      <c r="C10" s="28"/>
      <c r="D10" s="28"/>
      <c r="E10" s="6" t="s">
        <v>29</v>
      </c>
      <c r="F10" s="6" t="s">
        <v>26</v>
      </c>
      <c r="G10" s="6" t="s">
        <v>5</v>
      </c>
      <c r="H10" s="6"/>
      <c r="I10" s="6"/>
      <c r="J10" s="147" t="s">
        <v>74</v>
      </c>
      <c r="K10" s="151"/>
      <c r="L10" s="16"/>
      <c r="M10" s="143"/>
      <c r="N10" s="91"/>
      <c r="O10" s="123">
        <f aca="true" t="shared" si="0" ref="O10:T10">SUM(O8:O9)</f>
        <v>0.5391077766296778</v>
      </c>
      <c r="P10" s="123">
        <f t="shared" si="0"/>
        <v>0.4941821285772046</v>
      </c>
      <c r="Q10" s="133">
        <f t="shared" si="0"/>
        <v>0.9883642571544092</v>
      </c>
      <c r="R10" s="134">
        <f t="shared" si="0"/>
        <v>1.0782155532593556</v>
      </c>
      <c r="S10" s="135">
        <f t="shared" si="0"/>
        <v>1.168066849364302</v>
      </c>
      <c r="T10" s="135">
        <f t="shared" si="0"/>
        <v>1.212992497416775</v>
      </c>
    </row>
    <row r="11" spans="1:20" ht="26.25" thickBot="1">
      <c r="A11" s="4"/>
      <c r="B11" s="4"/>
      <c r="C11" s="203" t="s">
        <v>112</v>
      </c>
      <c r="D11" s="204">
        <f>input_stijgende_uitkering*1</f>
        <v>3</v>
      </c>
      <c r="E11" s="67">
        <f>IF(D13="Vrouw",G15,G13)</f>
        <v>0.7188103688395705</v>
      </c>
      <c r="F11" s="15"/>
      <c r="G11" s="29">
        <f>'Bereken PP|WzP'!M6</f>
        <v>2411.4156560000006</v>
      </c>
      <c r="H11" s="15">
        <f>E11*G11/100</f>
        <v>17.33350577114875</v>
      </c>
      <c r="I11" s="29"/>
      <c r="J11" s="148">
        <f>IF(input_Kortingspercentage_WzP=0,0.001,J12)</f>
        <v>0.001</v>
      </c>
      <c r="K11" s="152"/>
      <c r="L11" s="1"/>
      <c r="M11" s="95"/>
      <c r="N11" s="131"/>
      <c r="O11" s="25"/>
      <c r="P11" s="25"/>
      <c r="Q11" s="25"/>
      <c r="R11" s="24"/>
      <c r="S11" s="24"/>
      <c r="T11" s="24"/>
    </row>
    <row r="12" spans="3:20" ht="13.5" thickBot="1">
      <c r="C12" s="179" t="s">
        <v>103</v>
      </c>
      <c r="D12" s="205">
        <f>input_wzp_eindleeftijd</f>
        <v>21</v>
      </c>
      <c r="E12" s="63" t="s">
        <v>29</v>
      </c>
      <c r="F12" s="65">
        <v>18</v>
      </c>
      <c r="G12" s="65">
        <v>21</v>
      </c>
      <c r="H12" s="65">
        <v>27</v>
      </c>
      <c r="I12" s="65">
        <v>30</v>
      </c>
      <c r="J12" s="149">
        <f>input_Kortingspercentage_WzP/100</f>
        <v>0</v>
      </c>
      <c r="K12" s="24"/>
      <c r="M12" s="97">
        <v>21</v>
      </c>
      <c r="N12" s="97">
        <v>21</v>
      </c>
      <c r="O12" s="98">
        <v>18</v>
      </c>
      <c r="P12" s="98">
        <v>18</v>
      </c>
      <c r="Q12" s="99">
        <v>27</v>
      </c>
      <c r="R12" s="99">
        <v>27</v>
      </c>
      <c r="S12" s="100">
        <v>30</v>
      </c>
      <c r="T12" s="100">
        <v>30</v>
      </c>
    </row>
    <row r="13" spans="3:20" ht="13.5" thickBot="1">
      <c r="C13" s="182" t="s">
        <v>104</v>
      </c>
      <c r="D13" s="206" t="str">
        <f>'Bereken PP|WzP'!A10</f>
        <v>Man</v>
      </c>
      <c r="E13" s="202" t="s">
        <v>49</v>
      </c>
      <c r="F13" s="109">
        <f>VLOOKUP($B$4,$A$54:$BI$106,4,TRUE)</f>
        <v>0.5391077766296778</v>
      </c>
      <c r="G13" s="64">
        <f>VLOOKUP($B$4,$A$54:$BI$106,6,TRUE)</f>
        <v>0.7188103688395705</v>
      </c>
      <c r="H13" s="64">
        <f>VLOOKUP($B$4,$A$54:$BI$106,8,TRUE)</f>
        <v>0.9883642571544093</v>
      </c>
      <c r="I13" s="64">
        <f>VLOOKUP($B$4,$A$54:$BI$106,10,TRUE)</f>
        <v>1.168066849364302</v>
      </c>
      <c r="J13" s="92" t="s">
        <v>127</v>
      </c>
      <c r="K13" s="92" t="s">
        <v>128</v>
      </c>
      <c r="M13" s="101" t="s">
        <v>114</v>
      </c>
      <c r="N13" s="102" t="s">
        <v>115</v>
      </c>
      <c r="O13" s="103" t="s">
        <v>114</v>
      </c>
      <c r="P13" s="104" t="s">
        <v>115</v>
      </c>
      <c r="Q13" s="105" t="s">
        <v>114</v>
      </c>
      <c r="R13" s="106" t="s">
        <v>115</v>
      </c>
      <c r="S13" s="107" t="s">
        <v>114</v>
      </c>
      <c r="T13" s="108" t="s">
        <v>115</v>
      </c>
    </row>
    <row r="14" spans="4:20" ht="12.75">
      <c r="D14" s="66"/>
      <c r="E14" s="110" t="s">
        <v>49</v>
      </c>
      <c r="F14" s="109">
        <f>VLOOKUP($B$5,$A$54:$BI$106,4,TRUE)</f>
        <v>0.5391077766296778</v>
      </c>
      <c r="G14" s="64">
        <f>VLOOKUP($B$5,$A$54:$BI$106,6,TRUE)</f>
        <v>0.7188103688395705</v>
      </c>
      <c r="H14" s="64">
        <f>VLOOKUP($B$5,$A$54:$BI$106,8,TRUE)</f>
        <v>0.9883642571544093</v>
      </c>
      <c r="I14" s="64">
        <f>VLOOKUP($B$5,$A$54:$BI$106,10,TRUE)</f>
        <v>1.168066849364302</v>
      </c>
      <c r="J14" s="90">
        <f>G13/$E$1*C4</f>
        <v>0.059900864069964206</v>
      </c>
      <c r="K14" s="90">
        <f>G15/$E$1*C4</f>
        <v>0.059900864069964206</v>
      </c>
      <c r="M14" s="115">
        <f>$G$11*J16/1000</f>
        <v>1.7333505771148752</v>
      </c>
      <c r="N14" s="116">
        <f>$G$11*K16/1000</f>
        <v>1.7333505771148752</v>
      </c>
      <c r="O14" s="117">
        <f aca="true" t="shared" si="1" ref="O14:T14">$G$11*O10/1000</f>
        <v>1.3000129328361563</v>
      </c>
      <c r="P14" s="117">
        <f t="shared" si="1"/>
        <v>1.1916785217664765</v>
      </c>
      <c r="Q14" s="112">
        <f t="shared" si="1"/>
        <v>2.383357043532953</v>
      </c>
      <c r="R14" s="112">
        <f t="shared" si="1"/>
        <v>2.6000258656723125</v>
      </c>
      <c r="S14" s="113">
        <f t="shared" si="1"/>
        <v>2.8166946878116725</v>
      </c>
      <c r="T14" s="113">
        <f t="shared" si="1"/>
        <v>2.9250290988813514</v>
      </c>
    </row>
    <row r="15" spans="5:20" ht="13.5" thickBot="1">
      <c r="E15" s="111" t="s">
        <v>48</v>
      </c>
      <c r="F15" s="109">
        <f>VLOOKUP($B$4,$A$54:$BI$106,5,TRUE)</f>
        <v>0.49418212857720467</v>
      </c>
      <c r="G15" s="64">
        <f>VLOOKUP($B$4,$A$54:$BI$106,7,TRUE)</f>
        <v>0.7188103688395705</v>
      </c>
      <c r="H15" s="64">
        <f>VLOOKUP($B$4,$A$54:$BI$106,9,TRUE)</f>
        <v>1.0782155532593556</v>
      </c>
      <c r="I15" s="64">
        <f>VLOOKUP($B$4,$A$54:$BI$106,11,TRUE)</f>
        <v>1.2129924974167752</v>
      </c>
      <c r="J15" s="90">
        <f>G14/$E$1*C5</f>
        <v>0.6589095047696063</v>
      </c>
      <c r="K15" s="90">
        <f>G16/$E$1*C5</f>
        <v>0.6589095047696063</v>
      </c>
      <c r="L15" s="118" t="s">
        <v>74</v>
      </c>
      <c r="M15" s="119">
        <f aca="true" t="shared" si="2" ref="M15:T15">$J$11*M14</f>
        <v>0.0017333505771148752</v>
      </c>
      <c r="N15" s="119">
        <f t="shared" si="2"/>
        <v>0.0017333505771148752</v>
      </c>
      <c r="O15" s="120">
        <f t="shared" si="2"/>
        <v>0.0013000129328361563</v>
      </c>
      <c r="P15" s="120">
        <f t="shared" si="2"/>
        <v>0.0011916785217664764</v>
      </c>
      <c r="Q15" s="120">
        <f t="shared" si="2"/>
        <v>0.002383357043532953</v>
      </c>
      <c r="R15" s="121">
        <f t="shared" si="2"/>
        <v>0.0026000258656723126</v>
      </c>
      <c r="S15" s="121">
        <f t="shared" si="2"/>
        <v>0.0028166946878116724</v>
      </c>
      <c r="T15" s="121">
        <f t="shared" si="2"/>
        <v>0.0029250290988813515</v>
      </c>
    </row>
    <row r="16" spans="1:20" ht="13.5" thickBot="1">
      <c r="A16" s="178" t="s">
        <v>132</v>
      </c>
      <c r="B16" s="235"/>
      <c r="C16" s="238">
        <f>VLOOKUP(D11,A17:B20,2,FALSE)</f>
        <v>4832.3009808320185</v>
      </c>
      <c r="D16" s="239">
        <f>IF(input_burgerlijkestaat="Alleenstaand",C17,C16)</f>
        <v>0</v>
      </c>
      <c r="E16" s="237" t="s">
        <v>48</v>
      </c>
      <c r="F16" s="109">
        <f>VLOOKUP($B$5,$A$54:$BI$106,5,TRUE)</f>
        <v>0.49418212857720467</v>
      </c>
      <c r="G16" s="64">
        <f>VLOOKUP($B$5,$A$54:$BI$106,7,TRUE)</f>
        <v>0.7188103688395705</v>
      </c>
      <c r="H16" s="64">
        <f>VLOOKUP($B$5,$A$54:$BI$106,9,TRUE)</f>
        <v>1.0782155532593556</v>
      </c>
      <c r="I16" s="64">
        <f>VLOOKUP($B$5,$A$54:$BI$106,11,TRUE)</f>
        <v>1.2129924974167752</v>
      </c>
      <c r="J16" s="125">
        <f>SUM(J14:J15)</f>
        <v>0.7188103688395705</v>
      </c>
      <c r="K16" s="126">
        <f>SUM(K14:K15)</f>
        <v>0.7188103688395705</v>
      </c>
      <c r="L16" t="s">
        <v>120</v>
      </c>
      <c r="M16" s="89">
        <f aca="true" t="shared" si="3" ref="M16:T16">M14-M15</f>
        <v>1.7316172265377603</v>
      </c>
      <c r="N16" s="89">
        <f t="shared" si="3"/>
        <v>1.7316172265377603</v>
      </c>
      <c r="O16" s="113">
        <f t="shared" si="3"/>
        <v>1.29871291990332</v>
      </c>
      <c r="P16" s="113">
        <f t="shared" si="3"/>
        <v>1.19048684324471</v>
      </c>
      <c r="Q16" s="113">
        <f t="shared" si="3"/>
        <v>2.38097368648942</v>
      </c>
      <c r="R16" s="113">
        <f t="shared" si="3"/>
        <v>2.59742583980664</v>
      </c>
      <c r="S16" s="113">
        <f t="shared" si="3"/>
        <v>2.8138779931238607</v>
      </c>
      <c r="T16" s="113">
        <f t="shared" si="3"/>
        <v>2.92210406978247</v>
      </c>
    </row>
    <row r="17" spans="1:20" ht="13.5" thickBot="1">
      <c r="A17" s="179">
        <v>0</v>
      </c>
      <c r="B17" s="236">
        <f>M9</f>
        <v>1894.822150138944</v>
      </c>
      <c r="C17" s="240">
        <v>0</v>
      </c>
      <c r="D17" s="22"/>
      <c r="F17" s="88"/>
      <c r="G17" s="88"/>
      <c r="H17" s="88"/>
      <c r="I17" s="88"/>
      <c r="L17" t="s">
        <v>121</v>
      </c>
      <c r="M17" s="89">
        <f aca="true" t="shared" si="4" ref="M17:T17">$E$1*M16</f>
        <v>20.779406718453124</v>
      </c>
      <c r="N17" s="89">
        <f t="shared" si="4"/>
        <v>20.779406718453124</v>
      </c>
      <c r="O17" s="114">
        <f t="shared" si="4"/>
        <v>15.584555038839842</v>
      </c>
      <c r="P17" s="114">
        <f t="shared" si="4"/>
        <v>14.28584211893652</v>
      </c>
      <c r="Q17" s="114">
        <f t="shared" si="4"/>
        <v>28.57168423787304</v>
      </c>
      <c r="R17" s="114">
        <f t="shared" si="4"/>
        <v>31.169110077679683</v>
      </c>
      <c r="S17" s="114">
        <f t="shared" si="4"/>
        <v>33.76653591748633</v>
      </c>
      <c r="T17" s="114">
        <f t="shared" si="4"/>
        <v>35.06524883738964</v>
      </c>
    </row>
    <row r="18" spans="1:19" ht="13.5" thickBot="1">
      <c r="A18" s="179">
        <v>1</v>
      </c>
      <c r="B18" s="180">
        <f>M30</f>
        <v>222906.696399021</v>
      </c>
      <c r="F18" s="68">
        <f>IF(D13="Vrouw",F15,F13)</f>
        <v>0.5391077766296778</v>
      </c>
      <c r="G18" s="69">
        <f>IF(D13="Vrouw",G15,G13)</f>
        <v>0.7188103688395705</v>
      </c>
      <c r="H18" s="69">
        <f>IF(D13="Vrouw",H15,H13)</f>
        <v>0.9883642571544093</v>
      </c>
      <c r="I18" s="70">
        <f>IF(D13="Vrouw",I15,I13)</f>
        <v>1.168066849364302</v>
      </c>
      <c r="M18" s="136" t="s">
        <v>122</v>
      </c>
      <c r="N18" s="25"/>
      <c r="O18" s="136" t="s">
        <v>123</v>
      </c>
      <c r="P18" s="25"/>
      <c r="Q18" s="136" t="s">
        <v>124</v>
      </c>
      <c r="S18" s="136" t="s">
        <v>125</v>
      </c>
    </row>
    <row r="19" spans="1:19" ht="13.5" thickBot="1">
      <c r="A19" s="179">
        <v>2</v>
      </c>
      <c r="B19" s="181">
        <f>M38</f>
        <v>73.49976231140712</v>
      </c>
      <c r="D19" s="27"/>
      <c r="E19" s="27"/>
      <c r="I19" s="26"/>
      <c r="J19" s="178">
        <v>18</v>
      </c>
      <c r="K19" s="184">
        <f>O19</f>
        <v>15.584555038839842</v>
      </c>
      <c r="L19" s="199" t="s">
        <v>126</v>
      </c>
      <c r="M19" s="140">
        <f>IF('Bereken PP|WzP'!A10="Man",M17,N17)</f>
        <v>20.779406718453124</v>
      </c>
      <c r="N19" s="138"/>
      <c r="O19" s="34">
        <f>IF('Bereken PP|WzP'!A10="Man",O17,P17)</f>
        <v>15.584555038839842</v>
      </c>
      <c r="P19" s="138"/>
      <c r="Q19" s="34">
        <f>IF('Bereken PP|WzP'!A10="Man",Q17,R17)</f>
        <v>28.57168423787304</v>
      </c>
      <c r="S19" s="139">
        <f>IF('Bereken PP|WzP'!A10="Man",S17,T17)</f>
        <v>33.76653591748633</v>
      </c>
    </row>
    <row r="20" spans="1:17" ht="15.75" thickBot="1">
      <c r="A20" s="182">
        <v>3</v>
      </c>
      <c r="B20" s="183">
        <f>M46</f>
        <v>4832.3009808320185</v>
      </c>
      <c r="E20">
        <v>6.08</v>
      </c>
      <c r="G20">
        <v>1.35</v>
      </c>
      <c r="H20">
        <v>12</v>
      </c>
      <c r="I20" s="26">
        <f>G20*H20</f>
        <v>16.200000000000003</v>
      </c>
      <c r="J20" s="179">
        <v>21</v>
      </c>
      <c r="K20" s="185">
        <f>M19</f>
        <v>20.779406718453124</v>
      </c>
      <c r="L20" s="200">
        <f>VLOOKUP(D12,J19:K22,2)</f>
        <v>20.779406718453124</v>
      </c>
      <c r="M20" s="141"/>
      <c r="N20" s="24"/>
      <c r="O20" s="137"/>
      <c r="P20" s="73"/>
      <c r="Q20" s="137"/>
    </row>
    <row r="21" spans="6:56" ht="15">
      <c r="F21" s="35"/>
      <c r="G21" s="35"/>
      <c r="H21" s="35"/>
      <c r="I21" s="35"/>
      <c r="J21" s="186">
        <v>27</v>
      </c>
      <c r="K21" s="187">
        <f>Q19</f>
        <v>28.57168423787304</v>
      </c>
      <c r="L21" s="36"/>
      <c r="M21" s="36"/>
      <c r="N21" s="35"/>
      <c r="T21" s="35"/>
      <c r="U21" s="35"/>
      <c r="V21" s="35"/>
      <c r="W21" s="35"/>
      <c r="X21" s="35"/>
      <c r="Y21" s="35"/>
      <c r="Z21" s="35"/>
      <c r="AA21" s="35"/>
      <c r="AB21" s="35"/>
      <c r="AJ21" s="35"/>
      <c r="AK21" s="35"/>
      <c r="AL21" s="35"/>
      <c r="AM21" s="35"/>
      <c r="AN21" s="35"/>
      <c r="AO21" s="35"/>
      <c r="AP21" s="35"/>
      <c r="AX21" s="35"/>
      <c r="AY21" s="35"/>
      <c r="AZ21" s="35"/>
      <c r="BA21" s="35"/>
      <c r="BB21" s="35"/>
      <c r="BC21" s="35"/>
      <c r="BD21" s="35"/>
    </row>
    <row r="22" spans="6:56" ht="15.75" thickBot="1">
      <c r="F22" s="35"/>
      <c r="G22" s="35"/>
      <c r="H22" s="35"/>
      <c r="I22" s="35"/>
      <c r="J22" s="188">
        <v>30</v>
      </c>
      <c r="K22" s="189">
        <f>S19</f>
        <v>33.76653591748633</v>
      </c>
      <c r="L22" s="36"/>
      <c r="M22" s="36"/>
      <c r="N22" s="35"/>
      <c r="T22" s="35"/>
      <c r="U22" s="35"/>
      <c r="V22" s="35"/>
      <c r="W22" s="35"/>
      <c r="X22" s="35"/>
      <c r="Y22" s="35"/>
      <c r="Z22" s="35"/>
      <c r="AA22" s="35"/>
      <c r="AB22" s="35"/>
      <c r="AJ22" s="35"/>
      <c r="AK22" s="35"/>
      <c r="AL22" s="35"/>
      <c r="AM22" s="35"/>
      <c r="AN22" s="35"/>
      <c r="AO22" s="35"/>
      <c r="AP22" s="35"/>
      <c r="AX22" s="35"/>
      <c r="AY22" s="35"/>
      <c r="AZ22" s="35"/>
      <c r="BA22" s="35"/>
      <c r="BB22" s="35"/>
      <c r="BC22" s="35"/>
      <c r="BD22" s="35"/>
    </row>
    <row r="23" spans="1:56" s="157" customFormat="1" ht="6.75" customHeight="1" thickBot="1">
      <c r="A23" s="154"/>
      <c r="B23" s="154"/>
      <c r="C23" s="154"/>
      <c r="D23" s="154"/>
      <c r="E23" s="154"/>
      <c r="F23" s="154"/>
      <c r="G23" s="154"/>
      <c r="H23" s="154"/>
      <c r="I23" s="154"/>
      <c r="J23" s="155"/>
      <c r="K23" s="155"/>
      <c r="L23" s="156"/>
      <c r="M23" s="156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</row>
    <row r="24" spans="1:56" ht="30.75" thickBot="1">
      <c r="A24" s="35"/>
      <c r="B24" s="35"/>
      <c r="C24" s="158" t="s">
        <v>112</v>
      </c>
      <c r="D24" s="196">
        <v>1</v>
      </c>
      <c r="E24" s="35" t="s">
        <v>49</v>
      </c>
      <c r="F24" s="35" t="s">
        <v>48</v>
      </c>
      <c r="G24" s="35"/>
      <c r="H24" s="35" t="s">
        <v>130</v>
      </c>
      <c r="I24" s="35" t="s">
        <v>131</v>
      </c>
      <c r="K24" s="169" t="s">
        <v>130</v>
      </c>
      <c r="L24" s="169" t="s">
        <v>131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 ht="15">
      <c r="A25" s="35"/>
      <c r="B25" s="35" t="s">
        <v>129</v>
      </c>
      <c r="C25" s="160">
        <f>B4</f>
        <v>67</v>
      </c>
      <c r="D25" s="35">
        <f>C4</f>
        <v>1</v>
      </c>
      <c r="E25" s="168">
        <f>VLOOKUP(C25,A54:Q106,16,TRUE)*100</f>
        <v>1542.177279903767</v>
      </c>
      <c r="F25" s="35">
        <f>VLOOKUP(C25,A54:Q106,17)*100</f>
        <v>679.4601909630856</v>
      </c>
      <c r="G25" s="35"/>
      <c r="H25" s="35">
        <f>D25/$E$1*E25</f>
        <v>128.5147733253139</v>
      </c>
      <c r="I25" s="35">
        <f>D25/$E$1*F25</f>
        <v>56.62168258025713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 ht="15">
      <c r="A26" s="35"/>
      <c r="B26" s="35" t="s">
        <v>129</v>
      </c>
      <c r="C26" s="160">
        <f>B5</f>
        <v>68</v>
      </c>
      <c r="D26" s="35">
        <f>C5</f>
        <v>11</v>
      </c>
      <c r="E26" s="35">
        <f>VLOOKUP(C26,A55:Q107,16)*100</f>
        <v>1542.177279903767</v>
      </c>
      <c r="F26" s="35">
        <f>VLOOKUP(C26,A55:Q107,17)*100</f>
        <v>679.4601909630856</v>
      </c>
      <c r="G26" s="35"/>
      <c r="H26" s="35">
        <f>D26/$E$1*E26</f>
        <v>1413.6625065784528</v>
      </c>
      <c r="I26" s="35">
        <f>D26/$E$1*F26</f>
        <v>622.8385083828284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 ht="15">
      <c r="A27" s="35"/>
      <c r="B27" s="35"/>
      <c r="C27" s="35"/>
      <c r="D27" s="35"/>
      <c r="E27" s="35"/>
      <c r="F27" s="35"/>
      <c r="G27" s="35"/>
      <c r="H27" s="167">
        <f>SUM(H25:H26)</f>
        <v>1542.1772799037667</v>
      </c>
      <c r="I27" s="161">
        <f>SUM(I25:I26)</f>
        <v>679.4601909630856</v>
      </c>
      <c r="J27" s="153" t="s">
        <v>116</v>
      </c>
      <c r="K27" s="163">
        <f>$G$3*H27/1000</f>
        <v>18594.152185437186</v>
      </c>
      <c r="L27" s="163">
        <f>$G$3*I27/1000</f>
        <v>8192.304710585673</v>
      </c>
      <c r="M27" s="164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 ht="15">
      <c r="A28" s="35"/>
      <c r="B28" s="35"/>
      <c r="C28" s="35"/>
      <c r="D28" s="35"/>
      <c r="E28" s="35"/>
      <c r="F28" s="35"/>
      <c r="G28" s="35"/>
      <c r="H28" s="35"/>
      <c r="I28" s="35"/>
      <c r="J28" s="162" t="s">
        <v>109</v>
      </c>
      <c r="K28" s="165">
        <f>$J$3*K27</f>
        <v>18.594152185437185</v>
      </c>
      <c r="L28" s="166">
        <f>$J$3*L27</f>
        <v>8.192304710585674</v>
      </c>
      <c r="M28" s="16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 ht="15">
      <c r="A29" s="35"/>
      <c r="B29" s="35"/>
      <c r="C29" s="35"/>
      <c r="D29" s="35"/>
      <c r="E29" s="35"/>
      <c r="F29" s="35"/>
      <c r="G29" s="35"/>
      <c r="H29" s="35"/>
      <c r="I29" s="35"/>
      <c r="J29" s="153" t="s">
        <v>117</v>
      </c>
      <c r="K29" s="163">
        <f>K27-K28</f>
        <v>18575.55803325175</v>
      </c>
      <c r="L29" s="164">
        <f>L27-L28</f>
        <v>8184.1124058750875</v>
      </c>
      <c r="M29" s="164" t="s">
        <v>119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 ht="15">
      <c r="A30" s="35"/>
      <c r="B30" s="35"/>
      <c r="C30" s="35"/>
      <c r="D30" s="35"/>
      <c r="E30" s="35"/>
      <c r="F30" s="35"/>
      <c r="G30" s="35"/>
      <c r="H30" s="35"/>
      <c r="I30" s="35"/>
      <c r="J30" s="153" t="s">
        <v>118</v>
      </c>
      <c r="K30" s="163">
        <f>$E$1*K29</f>
        <v>222906.696399021</v>
      </c>
      <c r="L30" s="164">
        <f>$E$1*L29</f>
        <v>98209.34887050105</v>
      </c>
      <c r="M30" s="171">
        <f>IF('Bereken PP|WzP'!A10="Man",K30,L30)</f>
        <v>222906.696399021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 s="157" customFormat="1" ht="4.5" customHeight="1" thickBot="1">
      <c r="A31" s="154"/>
      <c r="B31" s="154"/>
      <c r="C31" s="154"/>
      <c r="D31" s="154"/>
      <c r="E31" s="154"/>
      <c r="F31" s="154"/>
      <c r="G31" s="154"/>
      <c r="H31" s="154"/>
      <c r="I31" s="154"/>
      <c r="J31" s="155"/>
      <c r="K31" s="174"/>
      <c r="L31" s="175"/>
      <c r="M31" s="176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</row>
    <row r="32" spans="1:56" ht="15.75" thickBot="1">
      <c r="A32" s="35"/>
      <c r="B32" s="35"/>
      <c r="C32" s="35" t="s">
        <v>112</v>
      </c>
      <c r="D32" s="196">
        <v>2</v>
      </c>
      <c r="E32" s="35" t="s">
        <v>49</v>
      </c>
      <c r="F32" s="35" t="s">
        <v>48</v>
      </c>
      <c r="G32" s="35"/>
      <c r="H32" s="35" t="s">
        <v>130</v>
      </c>
      <c r="I32" s="35" t="s">
        <v>131</v>
      </c>
      <c r="J32" s="153"/>
      <c r="K32" s="163" t="s">
        <v>130</v>
      </c>
      <c r="L32" s="164" t="s">
        <v>131</v>
      </c>
      <c r="M32" s="172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 ht="15">
      <c r="A33" s="35"/>
      <c r="B33" s="35" t="s">
        <v>129</v>
      </c>
      <c r="C33" s="160">
        <f>$B$4</f>
        <v>67</v>
      </c>
      <c r="D33" s="35">
        <f>$C$4</f>
        <v>1</v>
      </c>
      <c r="E33" s="35">
        <f>VLOOKUP(C25,A9:BC54,30,TRUE)*100</f>
        <v>0.33690201222706057</v>
      </c>
      <c r="F33" s="35">
        <f>VLOOKUP(C25,A9:BC54,31,TRUE)*100</f>
        <v>0.42556043649733977</v>
      </c>
      <c r="G33" s="35"/>
      <c r="H33" s="35">
        <f>D33/$E$1*E33</f>
        <v>0.02807516768558838</v>
      </c>
      <c r="I33" s="35">
        <f>D33/$E$1*F33</f>
        <v>0.03546336970811165</v>
      </c>
      <c r="J33" s="153"/>
      <c r="K33" s="163"/>
      <c r="L33" s="164"/>
      <c r="M33" s="172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ht="15">
      <c r="A34" s="35"/>
      <c r="B34" s="35" t="s">
        <v>129</v>
      </c>
      <c r="C34" s="160">
        <f>$B$5</f>
        <v>68</v>
      </c>
      <c r="D34" s="35">
        <f>$C$5</f>
        <v>11</v>
      </c>
      <c r="E34" s="35">
        <f>VLOOKUP(C26,A10:BC55,30,TRUE)*100</f>
        <v>0.5241076885875009</v>
      </c>
      <c r="F34" s="35">
        <f>VLOOKUP(C26,A10:BC55,31,TRUE)*100</f>
        <v>0.5060350096706906</v>
      </c>
      <c r="G34" s="35"/>
      <c r="H34" s="35">
        <f>D34/$E$1*E34</f>
        <v>0.4804320478718758</v>
      </c>
      <c r="I34" s="35">
        <f>D34/$E$1*F34</f>
        <v>0.46386542553146637</v>
      </c>
      <c r="J34" s="153"/>
      <c r="K34" s="163"/>
      <c r="L34" s="164"/>
      <c r="M34" s="172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ht="15">
      <c r="A35" s="35"/>
      <c r="B35" s="35"/>
      <c r="C35" s="35"/>
      <c r="D35" s="35"/>
      <c r="E35" s="35"/>
      <c r="F35" s="35"/>
      <c r="G35" s="35"/>
      <c r="H35" s="35">
        <f>SUM(H33:H34)</f>
        <v>0.5085072155574643</v>
      </c>
      <c r="I35" s="35">
        <f>SUM(I33:I34)</f>
        <v>0.499328795239578</v>
      </c>
      <c r="J35" s="153" t="s">
        <v>116</v>
      </c>
      <c r="K35" s="163">
        <f>$G$3*H35/1000</f>
        <v>6.131111303921181</v>
      </c>
      <c r="L35" s="164">
        <f>$G$3*I35/1000</f>
        <v>6.020446371661684</v>
      </c>
      <c r="M35" s="172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</row>
    <row r="36" spans="1:56" ht="15">
      <c r="A36" s="35"/>
      <c r="B36" s="35"/>
      <c r="C36" s="35"/>
      <c r="D36" s="35"/>
      <c r="E36" s="35"/>
      <c r="F36" s="35"/>
      <c r="G36" s="35"/>
      <c r="H36" s="35"/>
      <c r="I36" s="35"/>
      <c r="J36" s="162" t="s">
        <v>109</v>
      </c>
      <c r="K36" s="162">
        <f>$J$3*K35</f>
        <v>0.0061311113039211815</v>
      </c>
      <c r="L36" s="159">
        <f>$J$3*L35</f>
        <v>0.0060204463716616845</v>
      </c>
      <c r="M36" s="36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ht="15">
      <c r="A37" s="35"/>
      <c r="B37" s="35"/>
      <c r="C37" s="35"/>
      <c r="D37" s="35"/>
      <c r="E37" s="35"/>
      <c r="F37" s="35"/>
      <c r="G37" s="35"/>
      <c r="H37" s="35"/>
      <c r="I37" s="35"/>
      <c r="J37" s="153" t="s">
        <v>117</v>
      </c>
      <c r="K37" s="153">
        <f>K35-K36</f>
        <v>6.12498019261726</v>
      </c>
      <c r="L37" s="36">
        <f>L35-L36</f>
        <v>6.0144259252900225</v>
      </c>
      <c r="M37" s="36" t="s">
        <v>119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</row>
    <row r="38" spans="1:56" ht="15">
      <c r="A38" s="35"/>
      <c r="B38" s="35"/>
      <c r="C38" s="35"/>
      <c r="D38" s="35"/>
      <c r="E38" s="35"/>
      <c r="F38" s="35"/>
      <c r="G38" s="35"/>
      <c r="H38" s="35"/>
      <c r="I38" s="35"/>
      <c r="J38" s="153" t="s">
        <v>118</v>
      </c>
      <c r="K38" s="153">
        <f>$E$1*K37</f>
        <v>73.49976231140712</v>
      </c>
      <c r="L38" s="36">
        <f>$E$1*L37</f>
        <v>72.17311110348027</v>
      </c>
      <c r="M38" s="177">
        <f>IF(D13="Man",K38,L38)</f>
        <v>73.49976231140712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</row>
    <row r="39" spans="1:56" s="157" customFormat="1" ht="3" customHeight="1" thickBot="1">
      <c r="A39" s="154"/>
      <c r="B39" s="154"/>
      <c r="C39" s="154"/>
      <c r="D39" s="154"/>
      <c r="E39" s="154"/>
      <c r="F39" s="154"/>
      <c r="G39" s="154"/>
      <c r="H39" s="154"/>
      <c r="I39" s="154"/>
      <c r="J39" s="155"/>
      <c r="K39" s="155"/>
      <c r="L39" s="156"/>
      <c r="M39" s="156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</row>
    <row r="40" spans="1:56" ht="15.75" thickBot="1">
      <c r="A40" s="35"/>
      <c r="B40" s="35"/>
      <c r="C40" s="35" t="s">
        <v>112</v>
      </c>
      <c r="D40" s="196">
        <v>3</v>
      </c>
      <c r="E40" s="35" t="s">
        <v>49</v>
      </c>
      <c r="F40" s="35" t="s">
        <v>48</v>
      </c>
      <c r="G40" s="35"/>
      <c r="H40" s="35" t="s">
        <v>130</v>
      </c>
      <c r="I40" s="35" t="s">
        <v>131</v>
      </c>
      <c r="J40" s="153"/>
      <c r="K40" s="153" t="s">
        <v>130</v>
      </c>
      <c r="L40" s="36" t="s">
        <v>131</v>
      </c>
      <c r="M40" s="36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</row>
    <row r="41" spans="1:56" ht="15">
      <c r="A41" s="35"/>
      <c r="B41" s="35" t="s">
        <v>129</v>
      </c>
      <c r="C41" s="35">
        <f>$B$4</f>
        <v>67</v>
      </c>
      <c r="D41" s="35">
        <f>$C$4</f>
        <v>1</v>
      </c>
      <c r="E41" s="35">
        <f>VLOOKUP(C33,A17:BC62,44,TRUE)*100</f>
        <v>25.03989885468046</v>
      </c>
      <c r="F41" s="35">
        <f>VLOOKUP(C33,A17:BC62,45,TRUE)*100</f>
        <v>28.17249670972805</v>
      </c>
      <c r="G41" s="35"/>
      <c r="H41" s="35">
        <f>D41/$E$1*E41</f>
        <v>2.0866582378900382</v>
      </c>
      <c r="I41" s="35">
        <f>D41/$E$1*F41</f>
        <v>2.3477080591440043</v>
      </c>
      <c r="J41" s="153"/>
      <c r="K41" s="153"/>
      <c r="L41" s="36"/>
      <c r="M41" s="36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ht="15">
      <c r="A42" s="35"/>
      <c r="B42" s="35" t="s">
        <v>129</v>
      </c>
      <c r="C42" s="35">
        <f>$B$5</f>
        <v>68</v>
      </c>
      <c r="D42" s="35">
        <f>$C$5</f>
        <v>11</v>
      </c>
      <c r="E42" s="35">
        <f>VLOOKUP(C34,A18:BC63,44,TRUE)*100</f>
        <v>34.195153728681426</v>
      </c>
      <c r="F42" s="35">
        <f>VLOOKUP(C34,A18:BC63,45,TRUE)*100</f>
        <v>34.237870972564856</v>
      </c>
      <c r="G42" s="35"/>
      <c r="H42" s="35">
        <f>D42/$E$1*E42</f>
        <v>31.34555758462464</v>
      </c>
      <c r="I42" s="35">
        <f>D42/$E$1*F42</f>
        <v>31.38471505818445</v>
      </c>
      <c r="J42" s="153"/>
      <c r="K42" s="153"/>
      <c r="L42" s="36"/>
      <c r="M42" s="36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</row>
    <row r="43" spans="1:56" ht="15">
      <c r="A43" s="35"/>
      <c r="B43" s="35"/>
      <c r="C43" s="35"/>
      <c r="D43" s="35"/>
      <c r="E43" s="35"/>
      <c r="F43" s="35"/>
      <c r="G43" s="35"/>
      <c r="H43" s="35">
        <f>SUM(H41:H42)</f>
        <v>33.43221582251468</v>
      </c>
      <c r="I43" s="35">
        <f>SUM(I41:I42)</f>
        <v>33.73242311732845</v>
      </c>
      <c r="J43" s="153" t="s">
        <v>116</v>
      </c>
      <c r="K43" s="153">
        <f>$G$3*H43/1000</f>
        <v>403.0948432459141</v>
      </c>
      <c r="L43" s="36">
        <f>$G$3*I43/1000</f>
        <v>406.7144660997108</v>
      </c>
      <c r="M43" s="36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6" ht="15">
      <c r="A44" s="35"/>
      <c r="B44" s="35"/>
      <c r="C44" s="35"/>
      <c r="D44" s="35"/>
      <c r="E44" s="35"/>
      <c r="F44" s="35"/>
      <c r="G44" s="35"/>
      <c r="H44" s="35"/>
      <c r="I44" s="35"/>
      <c r="J44" s="162" t="s">
        <v>109</v>
      </c>
      <c r="K44" s="162">
        <f>$J$3*K43</f>
        <v>0.4030948432459141</v>
      </c>
      <c r="L44" s="159">
        <f>$J$3*L43</f>
        <v>0.40671446609971085</v>
      </c>
      <c r="M44" s="36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 ht="15">
      <c r="A45" s="35"/>
      <c r="B45" s="35"/>
      <c r="C45" s="35"/>
      <c r="D45" s="35"/>
      <c r="E45" s="35"/>
      <c r="F45" s="35"/>
      <c r="G45" s="35"/>
      <c r="H45" s="35"/>
      <c r="I45" s="35"/>
      <c r="J45" s="153" t="s">
        <v>117</v>
      </c>
      <c r="K45" s="153">
        <f>K43-K44</f>
        <v>402.69174840266817</v>
      </c>
      <c r="L45" s="36">
        <f>L43-L44</f>
        <v>406.30775163361113</v>
      </c>
      <c r="M45" s="36" t="s">
        <v>119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</row>
    <row r="46" spans="1:56" ht="15">
      <c r="A46" s="35"/>
      <c r="B46" s="35"/>
      <c r="C46" s="35"/>
      <c r="D46" s="35"/>
      <c r="E46" s="35"/>
      <c r="F46" s="35"/>
      <c r="G46" s="35"/>
      <c r="H46" s="35"/>
      <c r="I46" s="35"/>
      <c r="J46" s="153" t="s">
        <v>118</v>
      </c>
      <c r="K46" s="153">
        <f>$E$1*K45</f>
        <v>4832.3009808320185</v>
      </c>
      <c r="L46" s="36">
        <f>$E$1*L45</f>
        <v>4875.693019603334</v>
      </c>
      <c r="M46" s="177">
        <f>IF(D13="Man",K46,L46)</f>
        <v>4832.3009808320185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</row>
    <row r="47" spans="1:56" s="157" customFormat="1" ht="5.2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5"/>
      <c r="K47" s="155"/>
      <c r="L47" s="156"/>
      <c r="M47" s="156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</row>
    <row r="48" spans="1:61" ht="15">
      <c r="A48" s="35">
        <v>1</v>
      </c>
      <c r="B48" s="173">
        <v>2</v>
      </c>
      <c r="C48" s="173">
        <v>3</v>
      </c>
      <c r="D48" s="35">
        <v>4</v>
      </c>
      <c r="E48" s="35">
        <v>5</v>
      </c>
      <c r="F48" s="35">
        <v>6</v>
      </c>
      <c r="G48" s="35">
        <v>7</v>
      </c>
      <c r="H48" s="35">
        <v>8</v>
      </c>
      <c r="I48" s="35">
        <v>9</v>
      </c>
      <c r="J48" s="153">
        <v>10</v>
      </c>
      <c r="K48" s="153">
        <v>11</v>
      </c>
      <c r="L48" s="36">
        <v>12</v>
      </c>
      <c r="M48" s="36">
        <v>13</v>
      </c>
      <c r="N48" s="35">
        <v>14</v>
      </c>
      <c r="O48" s="35">
        <v>15</v>
      </c>
      <c r="P48" s="173">
        <v>16</v>
      </c>
      <c r="Q48" s="173">
        <v>17</v>
      </c>
      <c r="R48" s="35">
        <v>18</v>
      </c>
      <c r="S48" s="35">
        <v>19</v>
      </c>
      <c r="T48" s="35">
        <v>20</v>
      </c>
      <c r="U48" s="35">
        <v>21</v>
      </c>
      <c r="V48" s="35">
        <v>22</v>
      </c>
      <c r="W48" s="35">
        <v>23</v>
      </c>
      <c r="X48" s="35">
        <v>24</v>
      </c>
      <c r="Y48" s="35">
        <v>25</v>
      </c>
      <c r="Z48" s="35">
        <v>26</v>
      </c>
      <c r="AA48" s="35">
        <v>27</v>
      </c>
      <c r="AB48" s="35">
        <v>28</v>
      </c>
      <c r="AC48" s="35">
        <v>29</v>
      </c>
      <c r="AD48" s="173">
        <v>30</v>
      </c>
      <c r="AE48" s="173">
        <v>31</v>
      </c>
      <c r="AF48" s="35">
        <v>32</v>
      </c>
      <c r="AG48" s="35">
        <v>33</v>
      </c>
      <c r="AH48" s="35">
        <v>34</v>
      </c>
      <c r="AI48" s="35">
        <v>35</v>
      </c>
      <c r="AJ48" s="35">
        <v>36</v>
      </c>
      <c r="AK48" s="35">
        <v>37</v>
      </c>
      <c r="AL48" s="35">
        <v>38</v>
      </c>
      <c r="AM48" s="35">
        <v>39</v>
      </c>
      <c r="AN48" s="35">
        <v>40</v>
      </c>
      <c r="AO48" s="35">
        <v>41</v>
      </c>
      <c r="AP48" s="35">
        <v>42</v>
      </c>
      <c r="AQ48" s="35">
        <v>43</v>
      </c>
      <c r="AR48" s="173">
        <v>44</v>
      </c>
      <c r="AS48" s="173">
        <v>45</v>
      </c>
      <c r="AT48" s="35">
        <v>46</v>
      </c>
      <c r="AU48" s="35">
        <v>47</v>
      </c>
      <c r="AV48" s="35">
        <v>48</v>
      </c>
      <c r="AW48" s="35">
        <v>49</v>
      </c>
      <c r="AX48" s="35">
        <v>50</v>
      </c>
      <c r="AY48" s="35"/>
      <c r="AZ48" s="35"/>
      <c r="BA48" s="35"/>
      <c r="BB48" s="35"/>
      <c r="BC48" s="35"/>
      <c r="BD48" s="35"/>
      <c r="BE48" s="35" t="s">
        <v>76</v>
      </c>
      <c r="BF48" s="37"/>
      <c r="BG48" s="35"/>
      <c r="BH48" s="35"/>
      <c r="BI48" s="35"/>
    </row>
    <row r="49" spans="1:61" ht="15">
      <c r="A49" s="35" t="s">
        <v>75</v>
      </c>
      <c r="B49" s="35"/>
      <c r="C49" s="35"/>
      <c r="D49" s="35"/>
      <c r="E49" s="35"/>
      <c r="F49" s="35"/>
      <c r="G49" s="35"/>
      <c r="H49" s="35"/>
      <c r="I49" s="35"/>
      <c r="J49" s="153"/>
      <c r="K49" s="153"/>
      <c r="L49" s="36"/>
      <c r="M49" s="36"/>
      <c r="N49" s="35"/>
      <c r="O49" s="35" t="s">
        <v>75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 t="s">
        <v>75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 t="s">
        <v>75</v>
      </c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 t="s">
        <v>77</v>
      </c>
      <c r="BF49" s="37"/>
      <c r="BG49" s="35"/>
      <c r="BH49" s="35"/>
      <c r="BI49" s="35"/>
    </row>
    <row r="50" spans="1:61" ht="15">
      <c r="A50" s="35" t="s">
        <v>77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6"/>
      <c r="N50" s="35"/>
      <c r="O50" s="35" t="s">
        <v>77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 t="s">
        <v>77</v>
      </c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 t="s">
        <v>77</v>
      </c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 t="s">
        <v>78</v>
      </c>
      <c r="BF50" s="37"/>
      <c r="BG50" s="35"/>
      <c r="BH50" s="35"/>
      <c r="BI50" s="35"/>
    </row>
    <row r="51" spans="1:61" ht="63">
      <c r="A51" s="38"/>
      <c r="B51" s="225" t="s">
        <v>111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38"/>
      <c r="O51" s="38"/>
      <c r="P51" s="226" t="s">
        <v>80</v>
      </c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38"/>
      <c r="AC51" s="38"/>
      <c r="AD51" s="226" t="s">
        <v>81</v>
      </c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38"/>
      <c r="AQ51" s="38"/>
      <c r="AR51" s="226" t="s">
        <v>82</v>
      </c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38"/>
      <c r="BE51" s="38"/>
      <c r="BF51" s="39" t="s">
        <v>83</v>
      </c>
      <c r="BG51" s="39"/>
      <c r="BH51" s="39"/>
      <c r="BI51" s="39"/>
    </row>
    <row r="52" spans="1:61" ht="45">
      <c r="A52" s="40" t="s">
        <v>84</v>
      </c>
      <c r="B52" s="227" t="s">
        <v>12</v>
      </c>
      <c r="C52" s="228"/>
      <c r="D52" s="229" t="s">
        <v>85</v>
      </c>
      <c r="E52" s="230"/>
      <c r="F52" s="229" t="s">
        <v>86</v>
      </c>
      <c r="G52" s="230"/>
      <c r="H52" s="229" t="s">
        <v>87</v>
      </c>
      <c r="I52" s="230"/>
      <c r="J52" s="229" t="s">
        <v>88</v>
      </c>
      <c r="K52" s="230"/>
      <c r="L52" s="231" t="s">
        <v>89</v>
      </c>
      <c r="M52" s="231"/>
      <c r="N52" s="41"/>
      <c r="O52" s="40" t="s">
        <v>84</v>
      </c>
      <c r="P52" s="227" t="s">
        <v>12</v>
      </c>
      <c r="Q52" s="228"/>
      <c r="R52" s="229" t="s">
        <v>85</v>
      </c>
      <c r="S52" s="230"/>
      <c r="T52" s="229" t="s">
        <v>86</v>
      </c>
      <c r="U52" s="230"/>
      <c r="V52" s="229" t="s">
        <v>87</v>
      </c>
      <c r="W52" s="230"/>
      <c r="X52" s="229" t="s">
        <v>88</v>
      </c>
      <c r="Y52" s="230"/>
      <c r="Z52" s="231" t="s">
        <v>89</v>
      </c>
      <c r="AA52" s="231"/>
      <c r="AB52" s="41"/>
      <c r="AC52" s="40" t="s">
        <v>84</v>
      </c>
      <c r="AD52" s="227" t="s">
        <v>12</v>
      </c>
      <c r="AE52" s="228"/>
      <c r="AF52" s="229" t="s">
        <v>85</v>
      </c>
      <c r="AG52" s="230"/>
      <c r="AH52" s="229" t="s">
        <v>86</v>
      </c>
      <c r="AI52" s="230"/>
      <c r="AJ52" s="229" t="s">
        <v>87</v>
      </c>
      <c r="AK52" s="230"/>
      <c r="AL52" s="229" t="s">
        <v>88</v>
      </c>
      <c r="AM52" s="230"/>
      <c r="AN52" s="231" t="s">
        <v>89</v>
      </c>
      <c r="AO52" s="231"/>
      <c r="AP52" s="41"/>
      <c r="AQ52" s="40" t="s">
        <v>84</v>
      </c>
      <c r="AR52" s="227" t="s">
        <v>12</v>
      </c>
      <c r="AS52" s="228"/>
      <c r="AT52" s="229" t="s">
        <v>85</v>
      </c>
      <c r="AU52" s="230"/>
      <c r="AV52" s="229" t="s">
        <v>86</v>
      </c>
      <c r="AW52" s="230"/>
      <c r="AX52" s="229" t="s">
        <v>87</v>
      </c>
      <c r="AY52" s="230"/>
      <c r="AZ52" s="229" t="s">
        <v>88</v>
      </c>
      <c r="BA52" s="230"/>
      <c r="BB52" s="231" t="s">
        <v>89</v>
      </c>
      <c r="BC52" s="231"/>
      <c r="BD52" s="41"/>
      <c r="BE52" s="40" t="s">
        <v>84</v>
      </c>
      <c r="BF52" s="42" t="s">
        <v>83</v>
      </c>
      <c r="BG52" s="43" t="s">
        <v>90</v>
      </c>
      <c r="BH52" s="44" t="s">
        <v>91</v>
      </c>
      <c r="BI52" s="44" t="s">
        <v>92</v>
      </c>
    </row>
    <row r="53" spans="1:61" ht="60">
      <c r="A53" s="40"/>
      <c r="B53" s="43" t="s">
        <v>93</v>
      </c>
      <c r="C53" s="43" t="s">
        <v>94</v>
      </c>
      <c r="D53" s="43" t="s">
        <v>93</v>
      </c>
      <c r="E53" s="43" t="s">
        <v>94</v>
      </c>
      <c r="F53" s="43" t="s">
        <v>93</v>
      </c>
      <c r="G53" s="43" t="s">
        <v>94</v>
      </c>
      <c r="H53" s="43" t="s">
        <v>93</v>
      </c>
      <c r="I53" s="43" t="s">
        <v>94</v>
      </c>
      <c r="J53" s="43" t="s">
        <v>93</v>
      </c>
      <c r="K53" s="43" t="s">
        <v>94</v>
      </c>
      <c r="L53" s="45" t="s">
        <v>93</v>
      </c>
      <c r="M53" s="45" t="s">
        <v>94</v>
      </c>
      <c r="N53" s="41"/>
      <c r="O53" s="40"/>
      <c r="P53" s="43" t="s">
        <v>93</v>
      </c>
      <c r="Q53" s="43" t="s">
        <v>94</v>
      </c>
      <c r="R53" s="43" t="s">
        <v>93</v>
      </c>
      <c r="S53" s="43" t="s">
        <v>94</v>
      </c>
      <c r="T53" s="43" t="s">
        <v>93</v>
      </c>
      <c r="U53" s="43" t="s">
        <v>94</v>
      </c>
      <c r="V53" s="43" t="s">
        <v>93</v>
      </c>
      <c r="W53" s="43" t="s">
        <v>94</v>
      </c>
      <c r="X53" s="43" t="s">
        <v>93</v>
      </c>
      <c r="Y53" s="43" t="s">
        <v>94</v>
      </c>
      <c r="Z53" s="43" t="s">
        <v>93</v>
      </c>
      <c r="AA53" s="43" t="s">
        <v>94</v>
      </c>
      <c r="AB53" s="41"/>
      <c r="AC53" s="40"/>
      <c r="AD53" s="43" t="s">
        <v>93</v>
      </c>
      <c r="AE53" s="43" t="s">
        <v>94</v>
      </c>
      <c r="AF53" s="43" t="s">
        <v>93</v>
      </c>
      <c r="AG53" s="43" t="s">
        <v>94</v>
      </c>
      <c r="AH53" s="43" t="s">
        <v>93</v>
      </c>
      <c r="AI53" s="43" t="s">
        <v>94</v>
      </c>
      <c r="AJ53" s="43" t="s">
        <v>93</v>
      </c>
      <c r="AK53" s="43" t="s">
        <v>94</v>
      </c>
      <c r="AL53" s="43" t="s">
        <v>93</v>
      </c>
      <c r="AM53" s="43" t="s">
        <v>94</v>
      </c>
      <c r="AN53" s="43" t="s">
        <v>93</v>
      </c>
      <c r="AO53" s="43" t="s">
        <v>94</v>
      </c>
      <c r="AP53" s="41"/>
      <c r="AQ53" s="40"/>
      <c r="AR53" s="43" t="s">
        <v>93</v>
      </c>
      <c r="AS53" s="43" t="s">
        <v>94</v>
      </c>
      <c r="AT53" s="43" t="s">
        <v>93</v>
      </c>
      <c r="AU53" s="43" t="s">
        <v>94</v>
      </c>
      <c r="AV53" s="43" t="s">
        <v>93</v>
      </c>
      <c r="AW53" s="43" t="s">
        <v>94</v>
      </c>
      <c r="AX53" s="43" t="s">
        <v>93</v>
      </c>
      <c r="AY53" s="43" t="s">
        <v>94</v>
      </c>
      <c r="AZ53" s="43" t="s">
        <v>93</v>
      </c>
      <c r="BA53" s="43" t="s">
        <v>94</v>
      </c>
      <c r="BB53" s="43" t="s">
        <v>93</v>
      </c>
      <c r="BC53" s="43" t="s">
        <v>94</v>
      </c>
      <c r="BD53" s="41"/>
      <c r="BE53" s="40"/>
      <c r="BF53" s="46" t="s">
        <v>95</v>
      </c>
      <c r="BG53" s="47"/>
      <c r="BH53" s="47"/>
      <c r="BI53" s="48"/>
    </row>
    <row r="54" spans="1:61" ht="15">
      <c r="A54" s="49">
        <v>15</v>
      </c>
      <c r="B54">
        <v>0.19428217060992226</v>
      </c>
      <c r="C54">
        <v>0.2502272982724653</v>
      </c>
      <c r="D54">
        <v>0.5475843139980691</v>
      </c>
      <c r="E54">
        <v>0.5128305107876653</v>
      </c>
      <c r="F54">
        <v>0.7052479090501446</v>
      </c>
      <c r="G54">
        <v>0.6984666791554317</v>
      </c>
      <c r="H54">
        <v>1.0104032543122263</v>
      </c>
      <c r="I54">
        <v>1.058719517312056</v>
      </c>
      <c r="J54">
        <v>1.16043796573275</v>
      </c>
      <c r="K54">
        <v>1.2341838408377532</v>
      </c>
      <c r="L54">
        <v>0.15301928548846033</v>
      </c>
      <c r="M54">
        <v>0.1953841289914638</v>
      </c>
      <c r="N54" s="51"/>
      <c r="O54" s="49">
        <v>15</v>
      </c>
      <c r="P54" s="50">
        <v>0.002305119031027257</v>
      </c>
      <c r="Q54" s="50">
        <v>0.0028370695766489315</v>
      </c>
      <c r="R54" s="50">
        <v>0.6312482046662719</v>
      </c>
      <c r="S54" s="50">
        <v>0.5922384841531876</v>
      </c>
      <c r="T54" s="50">
        <v>0.8129980388749597</v>
      </c>
      <c r="U54" s="50">
        <v>0.8067919469751508</v>
      </c>
      <c r="V54" s="50">
        <v>1.1658586926069487</v>
      </c>
      <c r="W54" s="50">
        <v>1.2234866888194595</v>
      </c>
      <c r="X54" s="50">
        <v>1.3378560966873654</v>
      </c>
      <c r="Y54" s="50">
        <v>1.4265145523989204</v>
      </c>
      <c r="Z54" s="50">
        <v>0.0019781089278649608</v>
      </c>
      <c r="AA54" s="50">
        <v>0.0019781089278649608</v>
      </c>
      <c r="AB54" s="51"/>
      <c r="AC54" s="49">
        <v>15</v>
      </c>
      <c r="AD54" s="50">
        <v>0.003369020122270606</v>
      </c>
      <c r="AE54" s="50">
        <v>0.0042556043649733975</v>
      </c>
      <c r="AF54" s="50">
        <v>0.686216447207436</v>
      </c>
      <c r="AG54" s="50">
        <v>0.6445469730230051</v>
      </c>
      <c r="AH54" s="50">
        <v>0.8972235718009368</v>
      </c>
      <c r="AI54" s="50">
        <v>0.8901308953440125</v>
      </c>
      <c r="AJ54" s="50">
        <v>1.3245573283306322</v>
      </c>
      <c r="AK54" s="50">
        <v>1.390164585557183</v>
      </c>
      <c r="AL54" s="50">
        <v>1.541770544823942</v>
      </c>
      <c r="AM54" s="50">
        <v>1.644614353449346</v>
      </c>
      <c r="AN54" s="50">
        <v>0.002637478570486615</v>
      </c>
      <c r="AO54" s="50">
        <v>0.002637478570486615</v>
      </c>
      <c r="AP54" s="51"/>
      <c r="AQ54" s="49">
        <v>15</v>
      </c>
      <c r="AR54" s="50">
        <v>0.005319505456216746</v>
      </c>
      <c r="AS54" s="50">
        <v>0.006383406547460096</v>
      </c>
      <c r="AT54" s="50">
        <v>0.7482773662055244</v>
      </c>
      <c r="AU54" s="50">
        <v>0.7021749692355159</v>
      </c>
      <c r="AV54" s="50">
        <v>0.9920881194123007</v>
      </c>
      <c r="AW54" s="50">
        <v>0.9849954429553763</v>
      </c>
      <c r="AX54" s="50">
        <v>1.5107400853248978</v>
      </c>
      <c r="AY54" s="50">
        <v>1.5860997726797195</v>
      </c>
      <c r="AZ54" s="50">
        <v>1.7882410517020653</v>
      </c>
      <c r="BA54" s="50">
        <v>1.9070433823555488</v>
      </c>
      <c r="BB54" s="50">
        <v>0.0032968482131082687</v>
      </c>
      <c r="BC54" s="50">
        <v>0.0039562178557299215</v>
      </c>
      <c r="BD54" s="35"/>
      <c r="BE54" s="49"/>
      <c r="BF54" s="52"/>
      <c r="BG54" s="53"/>
      <c r="BH54" s="54"/>
      <c r="BI54" s="54"/>
    </row>
    <row r="55" spans="1:61" s="2" customFormat="1" ht="15">
      <c r="A55" s="190">
        <v>16</v>
      </c>
      <c r="B55" s="2">
        <v>0.28907916622173013</v>
      </c>
      <c r="C55" s="2">
        <v>0.2972003382554547</v>
      </c>
      <c r="D55" s="2">
        <v>0.5477473243320765</v>
      </c>
      <c r="E55" s="2">
        <v>0.5131891335224819</v>
      </c>
      <c r="F55" s="2">
        <v>0.7049870925157327</v>
      </c>
      <c r="G55" s="2">
        <v>0.6980754543538136</v>
      </c>
      <c r="H55" s="2">
        <v>1.010827081180646</v>
      </c>
      <c r="I55" s="2">
        <v>1.0583445935438387</v>
      </c>
      <c r="J55" s="2">
        <v>1.1602912564321433</v>
      </c>
      <c r="K55" s="2">
        <v>1.233727411902532</v>
      </c>
      <c r="L55" s="2">
        <v>0.22763199494151123</v>
      </c>
      <c r="M55" s="2">
        <v>0.23142586152386974</v>
      </c>
      <c r="N55" s="191"/>
      <c r="O55" s="190">
        <v>16</v>
      </c>
      <c r="P55" s="192">
        <v>0.003433808994193971</v>
      </c>
      <c r="Q55" s="192">
        <v>0.003433808994193971</v>
      </c>
      <c r="R55" s="192">
        <v>0.6316400139882509</v>
      </c>
      <c r="S55" s="192">
        <v>0.5927837613394744</v>
      </c>
      <c r="T55" s="192">
        <v>0.8123667704941884</v>
      </c>
      <c r="U55" s="192">
        <v>0.80694496779901</v>
      </c>
      <c r="V55" s="192">
        <v>1.1656875794632957</v>
      </c>
      <c r="W55" s="192">
        <v>1.2235201415451955</v>
      </c>
      <c r="X55" s="192">
        <v>1.3373779981439362</v>
      </c>
      <c r="Y55" s="192">
        <v>1.426837742614375</v>
      </c>
      <c r="Z55" s="192">
        <v>0.002637478570486615</v>
      </c>
      <c r="AA55" s="192">
        <v>0.002637478570486615</v>
      </c>
      <c r="AB55" s="191"/>
      <c r="AC55" s="190">
        <v>16</v>
      </c>
      <c r="AD55" s="192">
        <v>0.005241076885875009</v>
      </c>
      <c r="AE55" s="192">
        <v>0.005060350096706905</v>
      </c>
      <c r="AF55" s="192">
        <v>0.6867616747225618</v>
      </c>
      <c r="AG55" s="192">
        <v>0.6442908869436665</v>
      </c>
      <c r="AH55" s="192">
        <v>0.8964047122694491</v>
      </c>
      <c r="AI55" s="192">
        <v>0.8900792757917412</v>
      </c>
      <c r="AJ55" s="192">
        <v>1.323823491405991</v>
      </c>
      <c r="AK55" s="192">
        <v>1.389788757530658</v>
      </c>
      <c r="AL55" s="192">
        <v>1.542502866778175</v>
      </c>
      <c r="AM55" s="192">
        <v>1.6446134842040296</v>
      </c>
      <c r="AN55" s="192">
        <v>0.0032968482131082687</v>
      </c>
      <c r="AO55" s="192">
        <v>0.0032968482131082687</v>
      </c>
      <c r="AP55" s="191"/>
      <c r="AQ55" s="190">
        <v>16</v>
      </c>
      <c r="AR55" s="192">
        <v>0.00813270551256467</v>
      </c>
      <c r="AS55" s="192">
        <v>0.007590525145060358</v>
      </c>
      <c r="AT55" s="192">
        <v>0.7482087719345805</v>
      </c>
      <c r="AU55" s="192">
        <v>0.7021234490255664</v>
      </c>
      <c r="AV55" s="192">
        <v>0.9921898932175959</v>
      </c>
      <c r="AW55" s="192">
        <v>0.9849608229573585</v>
      </c>
      <c r="AX55" s="192">
        <v>1.510875684389636</v>
      </c>
      <c r="AY55" s="192">
        <v>1.5867809221221296</v>
      </c>
      <c r="AZ55" s="192">
        <v>1.7882912556262498</v>
      </c>
      <c r="BA55" s="192">
        <v>1.9075709149201685</v>
      </c>
      <c r="BB55" s="192">
        <v>0.00527495714097323</v>
      </c>
      <c r="BC55" s="192">
        <v>0.004615587498351576</v>
      </c>
      <c r="BD55" s="169"/>
      <c r="BE55" s="190">
        <v>16</v>
      </c>
      <c r="BF55" s="193">
        <f>BH55/15.166</f>
        <v>0.22323192414065587</v>
      </c>
      <c r="BG55" s="194">
        <v>15166</v>
      </c>
      <c r="BH55" s="195">
        <v>3.3855353615171873</v>
      </c>
      <c r="BI55" s="195">
        <f>(1+3.5%)*BH55</f>
        <v>3.5040290991702885</v>
      </c>
    </row>
    <row r="56" spans="1:61" s="2" customFormat="1" ht="15">
      <c r="A56" s="190">
        <v>17</v>
      </c>
      <c r="B56" s="2">
        <v>0.31324617290871626</v>
      </c>
      <c r="C56" s="2">
        <v>0.3206456888041977</v>
      </c>
      <c r="D56" s="2">
        <v>0.547916727228202</v>
      </c>
      <c r="E56" s="2">
        <v>0.5126809248341054</v>
      </c>
      <c r="F56" s="2">
        <v>0.7047160478819319</v>
      </c>
      <c r="G56" s="2">
        <v>0.6985497824629648</v>
      </c>
      <c r="H56" s="2">
        <v>1.01038663365072</v>
      </c>
      <c r="I56" s="2">
        <v>1.0579549668827501</v>
      </c>
      <c r="J56" s="2">
        <v>1.1601387938256302</v>
      </c>
      <c r="K56" s="2">
        <v>1.234133978853233</v>
      </c>
      <c r="L56" s="2">
        <v>0.24470439456212456</v>
      </c>
      <c r="M56" s="2">
        <v>0.24786595004742332</v>
      </c>
      <c r="N56" s="191"/>
      <c r="O56" s="190">
        <v>17</v>
      </c>
      <c r="P56" s="192">
        <v>0.0036854090601359255</v>
      </c>
      <c r="Q56" s="192">
        <v>0.0036854090601359255</v>
      </c>
      <c r="R56" s="192">
        <v>0.631126417846228</v>
      </c>
      <c r="S56" s="192">
        <v>0.5924296155841237</v>
      </c>
      <c r="T56" s="192">
        <v>0.8126328475041944</v>
      </c>
      <c r="U56" s="192">
        <v>0.8071047328953224</v>
      </c>
      <c r="V56" s="192">
        <v>1.165510830037195</v>
      </c>
      <c r="W56" s="192">
        <v>1.2235560334303517</v>
      </c>
      <c r="X56" s="192">
        <v>1.3378037353470411</v>
      </c>
      <c r="Y56" s="192">
        <v>1.4271749215238063</v>
      </c>
      <c r="Z56" s="192">
        <v>0.002637478570486615</v>
      </c>
      <c r="AA56" s="192">
        <v>0.002637478570486615</v>
      </c>
      <c r="AB56" s="191"/>
      <c r="AC56" s="190">
        <v>17</v>
      </c>
      <c r="AD56" s="192">
        <v>0.005528113590203888</v>
      </c>
      <c r="AE56" s="192">
        <v>0.005343843137197091</v>
      </c>
      <c r="AF56" s="192">
        <v>0.6864075639349488</v>
      </c>
      <c r="AG56" s="192">
        <v>0.6449467043684083</v>
      </c>
      <c r="AH56" s="192">
        <v>0.8964759190720876</v>
      </c>
      <c r="AI56" s="192">
        <v>0.8900264520284035</v>
      </c>
      <c r="AJ56" s="192">
        <v>1.323983448824861</v>
      </c>
      <c r="AK56" s="192">
        <v>1.3903208241313258</v>
      </c>
      <c r="AL56" s="192">
        <v>1.5423439758753077</v>
      </c>
      <c r="AM56" s="192">
        <v>1.6446140961394413</v>
      </c>
      <c r="AN56" s="192">
        <v>0.0039562178557299215</v>
      </c>
      <c r="AO56" s="192">
        <v>0.0039562178557299215</v>
      </c>
      <c r="AP56" s="191"/>
      <c r="AQ56" s="190">
        <v>17</v>
      </c>
      <c r="AR56" s="192">
        <v>0.008660711291319425</v>
      </c>
      <c r="AS56" s="192">
        <v>0.00792362947929224</v>
      </c>
      <c r="AT56" s="192">
        <v>0.7481381770673535</v>
      </c>
      <c r="AU56" s="192">
        <v>0.702070555326753</v>
      </c>
      <c r="AV56" s="192">
        <v>0.9922965722925366</v>
      </c>
      <c r="AW56" s="192">
        <v>0.9849257528140405</v>
      </c>
      <c r="AX56" s="192">
        <v>1.5110179930916994</v>
      </c>
      <c r="AY56" s="192">
        <v>1.5865688927462842</v>
      </c>
      <c r="AZ56" s="192">
        <v>1.788345075970115</v>
      </c>
      <c r="BA56" s="192">
        <v>1.9071995400608643</v>
      </c>
      <c r="BB56" s="192">
        <v>0.00527495714097323</v>
      </c>
      <c r="BC56" s="192">
        <v>0.004615587498351576</v>
      </c>
      <c r="BD56" s="169"/>
      <c r="BE56" s="190">
        <v>17</v>
      </c>
      <c r="BF56" s="193">
        <f aca="true" t="shared" si="5" ref="BF56:BF106">BH56/15.166</f>
        <v>0.27986303173976035</v>
      </c>
      <c r="BG56" s="194">
        <v>15166</v>
      </c>
      <c r="BH56" s="195">
        <v>4.2444027393652055</v>
      </c>
      <c r="BI56" s="195">
        <f aca="true" t="shared" si="6" ref="BI56:BI106">(1+3.5%)*BH56</f>
        <v>4.3929568352429875</v>
      </c>
    </row>
    <row r="57" spans="1:61" ht="15">
      <c r="A57" s="49">
        <v>18</v>
      </c>
      <c r="B57">
        <v>0.003953455607725196</v>
      </c>
      <c r="C57">
        <v>0.006828696049707157</v>
      </c>
      <c r="D57">
        <v>0.5480929062401725</v>
      </c>
      <c r="E57">
        <v>0.5130509007592435</v>
      </c>
      <c r="F57">
        <v>0.7053326744238285</v>
      </c>
      <c r="G57">
        <v>0.6981445707354328</v>
      </c>
      <c r="H57">
        <v>1.0108270811806461</v>
      </c>
      <c r="I57">
        <v>1.0584482681162675</v>
      </c>
      <c r="J57">
        <v>1.159980232714857</v>
      </c>
      <c r="K57">
        <v>1.2345568084819623</v>
      </c>
      <c r="L57">
        <v>0.0031615554852987672</v>
      </c>
      <c r="M57">
        <v>0.005058488776478028</v>
      </c>
      <c r="N57" s="51"/>
      <c r="O57" s="49">
        <v>18</v>
      </c>
      <c r="P57" s="50">
        <v>0.004698896586308017</v>
      </c>
      <c r="Q57" s="50">
        <v>0.01146530767059156</v>
      </c>
      <c r="R57" s="50">
        <v>0.6315314637997143</v>
      </c>
      <c r="S57" s="50">
        <v>0.5930005262762199</v>
      </c>
      <c r="T57" s="50">
        <v>0.8129088038493347</v>
      </c>
      <c r="U57" s="50">
        <v>0.806330351101421</v>
      </c>
      <c r="V57" s="50">
        <v>1.165325915344711</v>
      </c>
      <c r="W57" s="50">
        <v>1.2235922111119464</v>
      </c>
      <c r="X57" s="50">
        <v>1.3373054657544547</v>
      </c>
      <c r="Y57" s="50">
        <v>1.4265844673332833</v>
      </c>
      <c r="Z57" s="50">
        <v>0.0032968482131082687</v>
      </c>
      <c r="AA57" s="50">
        <v>0.008571805354081499</v>
      </c>
      <c r="AB57" s="51"/>
      <c r="AC57" s="49">
        <v>18</v>
      </c>
      <c r="AD57" s="50">
        <v>0.006954366947735865</v>
      </c>
      <c r="AE57" s="50">
        <v>0.0163521601203519</v>
      </c>
      <c r="AF57" s="50">
        <v>0.6869784226749869</v>
      </c>
      <c r="AG57" s="50">
        <v>0.6446883692955417</v>
      </c>
      <c r="AH57" s="50">
        <v>0.8965491316442372</v>
      </c>
      <c r="AI57" s="50">
        <v>0.8899706788963238</v>
      </c>
      <c r="AJ57" s="50">
        <v>1.3241485602586274</v>
      </c>
      <c r="AK57" s="50">
        <v>1.3899330877377643</v>
      </c>
      <c r="AL57" s="50">
        <v>1.5421772799037667</v>
      </c>
      <c r="AM57" s="50">
        <v>1.6446131869784228</v>
      </c>
      <c r="AN57" s="50">
        <v>0.004615587498351576</v>
      </c>
      <c r="AO57" s="50">
        <v>0.011209283924568113</v>
      </c>
      <c r="AP57" s="51"/>
      <c r="AQ57" s="49">
        <v>18</v>
      </c>
      <c r="AR57" s="50">
        <v>0.010901440080234597</v>
      </c>
      <c r="AS57" s="50">
        <v>0.024058350521897046</v>
      </c>
      <c r="AT57" s="50">
        <v>0.7480640553341855</v>
      </c>
      <c r="AU57" s="50">
        <v>0.7020148860987896</v>
      </c>
      <c r="AV57" s="50">
        <v>0.9924065859709797</v>
      </c>
      <c r="AW57" s="50">
        <v>0.9848883542590784</v>
      </c>
      <c r="AX57" s="50">
        <v>1.5111645740921735</v>
      </c>
      <c r="AY57" s="50">
        <v>1.586346891211187</v>
      </c>
      <c r="AZ57" s="50">
        <v>1.7883993684685364</v>
      </c>
      <c r="BA57" s="50">
        <v>1.9068115179309826</v>
      </c>
      <c r="BB57" s="50">
        <v>0.006593696426216537</v>
      </c>
      <c r="BC57" s="50">
        <v>0.014506132137676382</v>
      </c>
      <c r="BD57" s="35"/>
      <c r="BE57" s="49">
        <v>18</v>
      </c>
      <c r="BF57" s="52">
        <f t="shared" si="5"/>
        <v>0.32990912682734097</v>
      </c>
      <c r="BG57" s="55">
        <v>15166</v>
      </c>
      <c r="BH57" s="56">
        <v>5.003401817463454</v>
      </c>
      <c r="BI57" s="56">
        <f t="shared" si="6"/>
        <v>5.178520881074674</v>
      </c>
    </row>
    <row r="58" spans="1:61" ht="15">
      <c r="A58" s="49">
        <v>19</v>
      </c>
      <c r="B58">
        <v>0.009351866164893205</v>
      </c>
      <c r="C58">
        <v>0.018336992480182755</v>
      </c>
      <c r="D58">
        <v>0.5473594262719689</v>
      </c>
      <c r="E58">
        <v>0.5125191277822958</v>
      </c>
      <c r="F58">
        <v>0.7050576194357523</v>
      </c>
      <c r="G58">
        <v>0.6986396697139703</v>
      </c>
      <c r="H58">
        <v>1.0103686562005187</v>
      </c>
      <c r="I58">
        <v>1.0580448541337555</v>
      </c>
      <c r="J58">
        <v>1.1598151997220112</v>
      </c>
      <c r="K58">
        <v>1.23408004650263</v>
      </c>
      <c r="L58">
        <v>0.006955422067657287</v>
      </c>
      <c r="M58">
        <v>0.013910844135314574</v>
      </c>
      <c r="N58" s="51"/>
      <c r="O58" s="49">
        <v>19</v>
      </c>
      <c r="P58" s="50">
        <v>0.011123918534557986</v>
      </c>
      <c r="Q58" s="50">
        <v>0.026083671046549767</v>
      </c>
      <c r="R58" s="50">
        <v>0.6309946892878583</v>
      </c>
      <c r="S58" s="50">
        <v>0.5926363495135204</v>
      </c>
      <c r="T58" s="50">
        <v>0.8131968032159633</v>
      </c>
      <c r="U58" s="50">
        <v>0.8064840937554542</v>
      </c>
      <c r="V58" s="50">
        <v>1.1651345706455134</v>
      </c>
      <c r="W58" s="50">
        <v>1.2236310388013785</v>
      </c>
      <c r="X58" s="50">
        <v>1.3377470996300338</v>
      </c>
      <c r="Y58" s="50">
        <v>1.4269302396053696</v>
      </c>
      <c r="Z58" s="50">
        <v>0.008571805354081499</v>
      </c>
      <c r="AA58" s="50">
        <v>0.019781089278649612</v>
      </c>
      <c r="AB58" s="51"/>
      <c r="AC58" s="49">
        <v>19</v>
      </c>
      <c r="AD58" s="50">
        <v>0.0163022944040936</v>
      </c>
      <c r="AE58" s="50">
        <v>0.03663221448449268</v>
      </c>
      <c r="AF58" s="50">
        <v>0.6866142819606482</v>
      </c>
      <c r="AG58" s="50">
        <v>0.6444201082088765</v>
      </c>
      <c r="AH58" s="50">
        <v>0.896626192225148</v>
      </c>
      <c r="AI58" s="50">
        <v>0.8899134827646389</v>
      </c>
      <c r="AJ58" s="50">
        <v>1.3243216807090157</v>
      </c>
      <c r="AK58" s="50">
        <v>1.3904898168197486</v>
      </c>
      <c r="AL58" s="50">
        <v>1.542005258928383</v>
      </c>
      <c r="AM58" s="50">
        <v>1.644613817824737</v>
      </c>
      <c r="AN58" s="50">
        <v>0.011209283924568113</v>
      </c>
      <c r="AO58" s="50">
        <v>0.025056046419622842</v>
      </c>
      <c r="AP58" s="51"/>
      <c r="AQ58" s="49">
        <v>19</v>
      </c>
      <c r="AR58" s="50">
        <v>0.025316504251063007</v>
      </c>
      <c r="AS58" s="50">
        <v>0.05389346738294473</v>
      </c>
      <c r="AT58" s="50">
        <v>0.7479876255995889</v>
      </c>
      <c r="AU58" s="50">
        <v>0.7019576178703834</v>
      </c>
      <c r="AV58" s="50">
        <v>0.9925220416609928</v>
      </c>
      <c r="AW58" s="50">
        <v>0.9848503737061253</v>
      </c>
      <c r="AX58" s="50">
        <v>1.5113185871089128</v>
      </c>
      <c r="AY58" s="50">
        <v>1.5861173496688716</v>
      </c>
      <c r="AZ58" s="50">
        <v>1.7874986334841456</v>
      </c>
      <c r="BA58" s="50">
        <v>1.9073684452789514</v>
      </c>
      <c r="BB58" s="50">
        <v>0.015165501780298036</v>
      </c>
      <c r="BC58" s="50">
        <v>0.03296848213108269</v>
      </c>
      <c r="BD58" s="35"/>
      <c r="BE58" s="49">
        <v>19</v>
      </c>
      <c r="BF58" s="52">
        <f t="shared" si="5"/>
        <v>0.35163966811536934</v>
      </c>
      <c r="BG58" s="55">
        <v>15166</v>
      </c>
      <c r="BH58" s="56">
        <v>5.332967206637692</v>
      </c>
      <c r="BI58" s="56">
        <f t="shared" si="6"/>
        <v>5.519621058870011</v>
      </c>
    </row>
    <row r="59" spans="1:61" ht="15">
      <c r="A59" s="49">
        <v>20</v>
      </c>
      <c r="B59">
        <v>0.01984215379466216</v>
      </c>
      <c r="C59">
        <v>0.029201660301578274</v>
      </c>
      <c r="D59">
        <v>0.5475313356395166</v>
      </c>
      <c r="E59">
        <v>0.5129011485990685</v>
      </c>
      <c r="F59">
        <v>0.7047711038231727</v>
      </c>
      <c r="G59">
        <v>0.6982194468155204</v>
      </c>
      <c r="H59">
        <v>1.0108270811806461</v>
      </c>
      <c r="I59">
        <v>1.0585605822363988</v>
      </c>
      <c r="J59">
        <v>1.1596432903544636</v>
      </c>
      <c r="K59">
        <v>1.2345193704419186</v>
      </c>
      <c r="L59">
        <v>0.015175466329434081</v>
      </c>
      <c r="M59">
        <v>0.022130888397091368</v>
      </c>
      <c r="N59" s="51"/>
      <c r="O59" s="49">
        <v>20</v>
      </c>
      <c r="P59" s="50">
        <v>0.023690270660363357</v>
      </c>
      <c r="Q59" s="50">
        <v>0.041506920495843244</v>
      </c>
      <c r="R59" s="50">
        <v>0.6314144859209254</v>
      </c>
      <c r="S59" s="50">
        <v>0.5922569984219532</v>
      </c>
      <c r="T59" s="50">
        <v>0.8125178656036715</v>
      </c>
      <c r="U59" s="50">
        <v>0.8066442424788257</v>
      </c>
      <c r="V59" s="50">
        <v>1.1659141902818948</v>
      </c>
      <c r="W59" s="50">
        <v>1.2236714843428786</v>
      </c>
      <c r="X59" s="50">
        <v>1.3382071352773721</v>
      </c>
      <c r="Y59" s="50">
        <v>1.4272904193375335</v>
      </c>
      <c r="Z59" s="50">
        <v>0.01780298035078465</v>
      </c>
      <c r="AA59" s="50">
        <v>0.03164974284583937</v>
      </c>
      <c r="AB59" s="51"/>
      <c r="AC59" s="49">
        <v>20</v>
      </c>
      <c r="AD59" s="50">
        <v>0.03465436286681252</v>
      </c>
      <c r="AE59" s="50">
        <v>0.05834463352717587</v>
      </c>
      <c r="AF59" s="50">
        <v>0.6862349684194863</v>
      </c>
      <c r="AG59" s="50">
        <v>0.6441406693580912</v>
      </c>
      <c r="AH59" s="50">
        <v>0.8967064637264615</v>
      </c>
      <c r="AI59" s="50">
        <v>0.8898539034141414</v>
      </c>
      <c r="AJ59" s="50">
        <v>1.3245020146527318</v>
      </c>
      <c r="AK59" s="50">
        <v>1.39009080621351</v>
      </c>
      <c r="AL59" s="50">
        <v>1.5418260702720272</v>
      </c>
      <c r="AM59" s="50">
        <v>1.644614474956829</v>
      </c>
      <c r="AN59" s="50">
        <v>0.023737307134379534</v>
      </c>
      <c r="AO59" s="50">
        <v>0.039562178557299224</v>
      </c>
      <c r="AP59" s="51"/>
      <c r="AQ59" s="49">
        <v>20</v>
      </c>
      <c r="AR59" s="50">
        <v>0.0532541621456102</v>
      </c>
      <c r="AS59" s="50">
        <v>0.08497171459998097</v>
      </c>
      <c r="AT59" s="50">
        <v>0.7479080112303673</v>
      </c>
      <c r="AU59" s="50">
        <v>0.7018979634190752</v>
      </c>
      <c r="AV59" s="50">
        <v>0.9926423080989433</v>
      </c>
      <c r="AW59" s="50">
        <v>0.9848108105991488</v>
      </c>
      <c r="AX59" s="50">
        <v>1.5114790174603236</v>
      </c>
      <c r="AY59" s="50">
        <v>1.5868571808958452</v>
      </c>
      <c r="AZ59" s="50">
        <v>1.7875393043280774</v>
      </c>
      <c r="BA59" s="50">
        <v>1.9069696411999422</v>
      </c>
      <c r="BB59" s="50">
        <v>0.03164974284583937</v>
      </c>
      <c r="BC59" s="50">
        <v>0.05143083212448899</v>
      </c>
      <c r="BD59" s="35"/>
      <c r="BE59" s="49">
        <v>20</v>
      </c>
      <c r="BF59" s="52">
        <f t="shared" si="5"/>
        <v>0.3687607006453312</v>
      </c>
      <c r="BG59" s="55">
        <v>15166</v>
      </c>
      <c r="BH59" s="56">
        <v>5.592624785987093</v>
      </c>
      <c r="BI59" s="56">
        <f t="shared" si="6"/>
        <v>5.788366653496641</v>
      </c>
    </row>
    <row r="60" spans="1:61" ht="15">
      <c r="A60" s="49">
        <v>21</v>
      </c>
      <c r="B60">
        <v>0.03116118226672557</v>
      </c>
      <c r="C60">
        <v>0.05180785517964804</v>
      </c>
      <c r="D60">
        <v>0.5477105602993004</v>
      </c>
      <c r="E60">
        <v>0.5132994256208103</v>
      </c>
      <c r="F60">
        <v>0.7054282609090465</v>
      </c>
      <c r="G60">
        <v>0.6977813420916044</v>
      </c>
      <c r="H60">
        <v>1.010349148754556</v>
      </c>
      <c r="I60">
        <v>1.05814239136357</v>
      </c>
      <c r="J60">
        <v>1.16041993054686</v>
      </c>
      <c r="K60">
        <v>1.2340215241647414</v>
      </c>
      <c r="L60">
        <v>0.02402782168827063</v>
      </c>
      <c r="M60">
        <v>0.03920328801770471</v>
      </c>
      <c r="N60" s="51"/>
      <c r="O60" s="49">
        <v>21</v>
      </c>
      <c r="P60" s="50">
        <v>0.043389812072125465</v>
      </c>
      <c r="Q60" s="50">
        <v>0.07458248803181014</v>
      </c>
      <c r="R60" s="50">
        <v>0.6308517498387878</v>
      </c>
      <c r="S60" s="50">
        <v>0.5928606777407309</v>
      </c>
      <c r="T60" s="50">
        <v>0.8128089898873765</v>
      </c>
      <c r="U60" s="50">
        <v>0.8068103995561042</v>
      </c>
      <c r="V60" s="50">
        <v>1.1657260543772212</v>
      </c>
      <c r="W60" s="50">
        <v>1.2237124275795188</v>
      </c>
      <c r="X60" s="50">
        <v>1.3376856438736897</v>
      </c>
      <c r="Y60" s="50">
        <v>1.4266647337875598</v>
      </c>
      <c r="Z60" s="50">
        <v>0.03296848213108269</v>
      </c>
      <c r="AA60" s="50">
        <v>0.056046419622840564</v>
      </c>
      <c r="AB60" s="51"/>
      <c r="AC60" s="49">
        <v>21</v>
      </c>
      <c r="AD60" s="50">
        <v>0.06338511717448743</v>
      </c>
      <c r="AE60" s="50">
        <v>0.10437549263432946</v>
      </c>
      <c r="AF60" s="50">
        <v>0.6868385929306613</v>
      </c>
      <c r="AG60" s="50">
        <v>0.6448484606117563</v>
      </c>
      <c r="AH60" s="50">
        <v>0.8967892545251865</v>
      </c>
      <c r="AI60" s="50">
        <v>0.8897908991387025</v>
      </c>
      <c r="AJ60" s="50">
        <v>1.323688933100721</v>
      </c>
      <c r="AK60" s="50">
        <v>1.389673426744715</v>
      </c>
      <c r="AL60" s="50">
        <v>1.5426374801921547</v>
      </c>
      <c r="AM60" s="50">
        <v>1.6446135158237813</v>
      </c>
      <c r="AN60" s="50">
        <v>0.04285902677040749</v>
      </c>
      <c r="AO60" s="50">
        <v>0.0712119214031386</v>
      </c>
      <c r="AP60" s="51"/>
      <c r="AQ60" s="49">
        <v>21</v>
      </c>
      <c r="AR60" s="50">
        <v>0.09657732364440831</v>
      </c>
      <c r="AS60" s="50">
        <v>0.15116450657385644</v>
      </c>
      <c r="AT60" s="50">
        <v>0.7478242612985949</v>
      </c>
      <c r="AU60" s="50">
        <v>0.7018350687588416</v>
      </c>
      <c r="AV60" s="50">
        <v>0.9917669347703288</v>
      </c>
      <c r="AW60" s="50">
        <v>0.9847685793838448</v>
      </c>
      <c r="AX60" s="50">
        <v>1.51064499842537</v>
      </c>
      <c r="AY60" s="50">
        <v>1.5866271426214837</v>
      </c>
      <c r="AZ60" s="50">
        <v>1.7875799187191008</v>
      </c>
      <c r="BA60" s="50">
        <v>1.9075517253445438</v>
      </c>
      <c r="BB60" s="50">
        <v>0.05736515890808387</v>
      </c>
      <c r="BC60" s="50">
        <v>0.09099301068178821</v>
      </c>
      <c r="BD60" s="35"/>
      <c r="BE60" s="49">
        <v>21</v>
      </c>
      <c r="BF60" s="52">
        <f t="shared" si="5"/>
        <v>0.3621756881338074</v>
      </c>
      <c r="BG60" s="55">
        <v>15166</v>
      </c>
      <c r="BH60" s="56">
        <v>5.492756486237323</v>
      </c>
      <c r="BI60" s="56">
        <f t="shared" si="6"/>
        <v>5.685002963255629</v>
      </c>
    </row>
    <row r="61" spans="1:61" ht="15">
      <c r="A61" s="49">
        <v>22</v>
      </c>
      <c r="B61">
        <v>0.045902274643270964</v>
      </c>
      <c r="C61">
        <v>0.08047547724692611</v>
      </c>
      <c r="D61">
        <v>0.5478975773355966</v>
      </c>
      <c r="E61">
        <v>0.512738374511922</v>
      </c>
      <c r="F61">
        <v>0.7051373455192527</v>
      </c>
      <c r="G61">
        <v>0.6983008338590938</v>
      </c>
      <c r="H61">
        <v>1.0108270811806461</v>
      </c>
      <c r="I61">
        <v>1.0586826628017587</v>
      </c>
      <c r="J61">
        <v>1.1602536931812635</v>
      </c>
      <c r="K61">
        <v>1.2344786769201321</v>
      </c>
      <c r="L61">
        <v>0.034777110338286434</v>
      </c>
      <c r="M61">
        <v>0.06006955422067657</v>
      </c>
      <c r="N61" s="51"/>
      <c r="O61" s="49">
        <v>22</v>
      </c>
      <c r="P61" s="50">
        <v>0.06701035350821673</v>
      </c>
      <c r="Q61" s="50">
        <v>0.10889182445085219</v>
      </c>
      <c r="R61" s="50">
        <v>0.6312866909851647</v>
      </c>
      <c r="S61" s="50">
        <v>0.5924697099860768</v>
      </c>
      <c r="T61" s="50">
        <v>0.8131136019808918</v>
      </c>
      <c r="U61" s="50">
        <v>0.8069846049810359</v>
      </c>
      <c r="V61" s="50">
        <v>1.16553092947261</v>
      </c>
      <c r="W61" s="50">
        <v>1.2237564009712418</v>
      </c>
      <c r="X61" s="50">
        <v>1.338164344968553</v>
      </c>
      <c r="Y61" s="50">
        <v>1.4270348014664647</v>
      </c>
      <c r="Z61" s="50">
        <v>0.050771462481867334</v>
      </c>
      <c r="AA61" s="50">
        <v>0.08176183568508506</v>
      </c>
      <c r="AB61" s="51"/>
      <c r="AC61" s="49">
        <v>22</v>
      </c>
      <c r="AD61" s="50">
        <v>0.09724673253021696</v>
      </c>
      <c r="AE61" s="50">
        <v>0.15118189511000116</v>
      </c>
      <c r="AF61" s="50">
        <v>0.6864476639838684</v>
      </c>
      <c r="AG61" s="50">
        <v>0.6445661844848526</v>
      </c>
      <c r="AH61" s="50">
        <v>0.8968765609789232</v>
      </c>
      <c r="AI61" s="50">
        <v>0.8907475639790674</v>
      </c>
      <c r="AJ61" s="50">
        <v>1.3238633519688892</v>
      </c>
      <c r="AK61" s="50">
        <v>1.3902608194673287</v>
      </c>
      <c r="AL61" s="50">
        <v>1.5424642449637518</v>
      </c>
      <c r="AM61" s="50">
        <v>1.6446141949613515</v>
      </c>
      <c r="AN61" s="50">
        <v>0.06593696426216537</v>
      </c>
      <c r="AO61" s="50">
        <v>0.10220229460635633</v>
      </c>
      <c r="AP61" s="51"/>
      <c r="AQ61" s="49">
        <v>22</v>
      </c>
      <c r="AR61" s="50">
        <v>0.14730019780312276</v>
      </c>
      <c r="AS61" s="50">
        <v>0.21778364890170437</v>
      </c>
      <c r="AT61" s="50">
        <v>0.7477376339824281</v>
      </c>
      <c r="AU61" s="50">
        <v>0.7017701564835084</v>
      </c>
      <c r="AV61" s="50">
        <v>0.9918760144766909</v>
      </c>
      <c r="AW61" s="50">
        <v>0.984725517976859</v>
      </c>
      <c r="AX61" s="50">
        <v>1.510797760464496</v>
      </c>
      <c r="AY61" s="50">
        <v>1.5863887234627196</v>
      </c>
      <c r="AZ61" s="50">
        <v>1.7876241249579907</v>
      </c>
      <c r="BA61" s="50">
        <v>1.9071395664551822</v>
      </c>
      <c r="BB61" s="50">
        <v>0.08703679282605829</v>
      </c>
      <c r="BC61" s="50">
        <v>0.13055518923908743</v>
      </c>
      <c r="BD61" s="35"/>
      <c r="BE61" s="49">
        <v>22</v>
      </c>
      <c r="BF61" s="52">
        <f t="shared" si="5"/>
        <v>0.40102726195179766</v>
      </c>
      <c r="BG61" s="55">
        <v>15166</v>
      </c>
      <c r="BH61" s="56">
        <v>6.081979454760964</v>
      </c>
      <c r="BI61" s="56">
        <f t="shared" si="6"/>
        <v>6.294848735677597</v>
      </c>
    </row>
    <row r="62" spans="1:61" ht="15">
      <c r="A62" s="49">
        <v>23</v>
      </c>
      <c r="B62">
        <v>0.07847010059547427</v>
      </c>
      <c r="C62">
        <v>0.11061688480888737</v>
      </c>
      <c r="D62">
        <v>0.5480929062401726</v>
      </c>
      <c r="E62">
        <v>0.5131507355326934</v>
      </c>
      <c r="F62">
        <v>0.7048335005565789</v>
      </c>
      <c r="G62">
        <v>0.697845066415083</v>
      </c>
      <c r="H62">
        <v>1.0103279073133964</v>
      </c>
      <c r="I62">
        <v>1.0582485985693677</v>
      </c>
      <c r="J62">
        <v>1.1600800674883067</v>
      </c>
      <c r="K62">
        <v>1.2339577998412627</v>
      </c>
      <c r="L62">
        <v>0.05943724312361681</v>
      </c>
      <c r="M62">
        <v>0.08220044261776795</v>
      </c>
      <c r="N62" s="51"/>
      <c r="O62" s="49">
        <v>23</v>
      </c>
      <c r="P62" s="50">
        <v>0.11507076120874837</v>
      </c>
      <c r="Q62" s="50">
        <v>0.14242878247616408</v>
      </c>
      <c r="R62" s="50">
        <v>0.6317403035694894</v>
      </c>
      <c r="S62" s="50">
        <v>0.5920607473122322</v>
      </c>
      <c r="T62" s="50">
        <v>0.8123867044248971</v>
      </c>
      <c r="U62" s="50">
        <v>0.8071657101805212</v>
      </c>
      <c r="V62" s="50">
        <v>1.165325915344711</v>
      </c>
      <c r="W62" s="50">
        <v>1.2238010508817216</v>
      </c>
      <c r="X62" s="50">
        <v>1.3376187254091172</v>
      </c>
      <c r="Y62" s="50">
        <v>1.4274198264123834</v>
      </c>
      <c r="Z62" s="50">
        <v>0.08637742318343664</v>
      </c>
      <c r="AA62" s="50">
        <v>0.10615851246208625</v>
      </c>
      <c r="AB62" s="51"/>
      <c r="AC62" s="49">
        <v>23</v>
      </c>
      <c r="AD62" s="50">
        <v>0.16602768631752263</v>
      </c>
      <c r="AE62" s="50">
        <v>0.19693598515399224</v>
      </c>
      <c r="AF62" s="50">
        <v>0.6870828425598744</v>
      </c>
      <c r="AG62" s="50">
        <v>0.6442706897559917</v>
      </c>
      <c r="AH62" s="50">
        <v>0.8969668111837874</v>
      </c>
      <c r="AI62" s="50">
        <v>0.8907016180905363</v>
      </c>
      <c r="AJ62" s="50">
        <v>1.3240441403737397</v>
      </c>
      <c r="AK62" s="50">
        <v>1.3898286678528768</v>
      </c>
      <c r="AL62" s="50">
        <v>1.5422816997886544</v>
      </c>
      <c r="AM62" s="50">
        <v>1.6446131869784228</v>
      </c>
      <c r="AN62" s="50">
        <v>0.11143346960305947</v>
      </c>
      <c r="AO62" s="50">
        <v>0.13187392852433075</v>
      </c>
      <c r="AP62" s="51"/>
      <c r="AQ62" s="49">
        <v>23</v>
      </c>
      <c r="AR62" s="50">
        <v>0.2503989885468046</v>
      </c>
      <c r="AS62" s="50">
        <v>0.2817249670972805</v>
      </c>
      <c r="AT62" s="50">
        <v>0.7476463757946353</v>
      </c>
      <c r="AU62" s="50">
        <v>0.701701626444127</v>
      </c>
      <c r="AV62" s="50">
        <v>0.9919889064314296</v>
      </c>
      <c r="AW62" s="50">
        <v>0.9846795144893031</v>
      </c>
      <c r="AX62" s="50">
        <v>1.5109557343223987</v>
      </c>
      <c r="AY62" s="50">
        <v>1.586138051441412</v>
      </c>
      <c r="AZ62" s="50">
        <v>1.787668429274324</v>
      </c>
      <c r="BA62" s="50">
        <v>1.9067070980460954</v>
      </c>
      <c r="BB62" s="50">
        <v>0.14572069101938545</v>
      </c>
      <c r="BC62" s="50">
        <v>0.16682051958327837</v>
      </c>
      <c r="BD62" s="35"/>
      <c r="BE62" s="49">
        <v>23</v>
      </c>
      <c r="BF62" s="52">
        <f t="shared" si="5"/>
        <v>0.40892927696562625</v>
      </c>
      <c r="BG62" s="55">
        <v>15166</v>
      </c>
      <c r="BH62" s="56">
        <v>6.201821414460688</v>
      </c>
      <c r="BI62" s="56">
        <f t="shared" si="6"/>
        <v>6.418885163966811</v>
      </c>
    </row>
    <row r="63" spans="1:61" ht="15">
      <c r="A63" s="49">
        <v>24</v>
      </c>
      <c r="B63">
        <v>0.11946133353155064</v>
      </c>
      <c r="C63">
        <v>0.1398820743061747</v>
      </c>
      <c r="D63">
        <v>0.5472760762755822</v>
      </c>
      <c r="E63">
        <v>0.5125608027804892</v>
      </c>
      <c r="F63">
        <v>0.7055368819149762</v>
      </c>
      <c r="G63">
        <v>0.69838961972481</v>
      </c>
      <c r="H63">
        <v>1.0108270811806461</v>
      </c>
      <c r="I63">
        <v>1.0588158416003333</v>
      </c>
      <c r="J63">
        <v>1.1598985497183978</v>
      </c>
      <c r="K63">
        <v>1.234434283987274</v>
      </c>
      <c r="L63">
        <v>0.08978817578248498</v>
      </c>
      <c r="M63">
        <v>0.10306670882073979</v>
      </c>
      <c r="N63" s="51"/>
      <c r="O63" s="49">
        <v>24</v>
      </c>
      <c r="P63" s="50">
        <v>0.1591217334657568</v>
      </c>
      <c r="Q63" s="50">
        <v>0.17535428614145818</v>
      </c>
      <c r="R63" s="50">
        <v>0.6311472783775992</v>
      </c>
      <c r="S63" s="50">
        <v>0.5927017588825169</v>
      </c>
      <c r="T63" s="50">
        <v>0.8126955648821539</v>
      </c>
      <c r="U63" s="50">
        <v>0.8062879782996402</v>
      </c>
      <c r="V63" s="50">
        <v>1.1651128269204072</v>
      </c>
      <c r="W63" s="50">
        <v>1.223849037260116</v>
      </c>
      <c r="X63" s="50">
        <v>1.3381176646482769</v>
      </c>
      <c r="Y63" s="50">
        <v>1.426755945706383</v>
      </c>
      <c r="Z63" s="50">
        <v>0.11868653567189766</v>
      </c>
      <c r="AA63" s="50">
        <v>0.12923644995384412</v>
      </c>
      <c r="AB63" s="51"/>
      <c r="AC63" s="49">
        <v>24</v>
      </c>
      <c r="AD63" s="50">
        <v>0.2283236685569047</v>
      </c>
      <c r="AE63" s="50">
        <v>0.24092525550251498</v>
      </c>
      <c r="AF63" s="50">
        <v>0.6866796954260511</v>
      </c>
      <c r="AG63" s="50">
        <v>0.6450303826397121</v>
      </c>
      <c r="AH63" s="50">
        <v>0.8970621215519176</v>
      </c>
      <c r="AI63" s="50">
        <v>0.8906545349694038</v>
      </c>
      <c r="AJ63" s="50">
        <v>1.324234560386164</v>
      </c>
      <c r="AK63" s="50">
        <v>1.390446288405472</v>
      </c>
      <c r="AL63" s="50">
        <v>1.5420925041916296</v>
      </c>
      <c r="AM63" s="50">
        <v>1.6446138895118487</v>
      </c>
      <c r="AN63" s="50">
        <v>0.15231438744560202</v>
      </c>
      <c r="AO63" s="50">
        <v>0.15956745351444018</v>
      </c>
      <c r="AP63" s="51"/>
      <c r="AQ63" s="49">
        <v>24</v>
      </c>
      <c r="AR63" s="50">
        <v>0.34195153728681427</v>
      </c>
      <c r="AS63" s="50">
        <v>0.34237870972564854</v>
      </c>
      <c r="AT63" s="50">
        <v>0.7475517679599313</v>
      </c>
      <c r="AU63" s="50">
        <v>0.7026986618823353</v>
      </c>
      <c r="AV63" s="50">
        <v>0.9921079891925372</v>
      </c>
      <c r="AW63" s="50">
        <v>0.9846324715129381</v>
      </c>
      <c r="AX63" s="50">
        <v>1.5111225023761468</v>
      </c>
      <c r="AY63" s="50">
        <v>1.5869456102692254</v>
      </c>
      <c r="AZ63" s="50">
        <v>1.7877166565213212</v>
      </c>
      <c r="BA63" s="50">
        <v>1.9073249393949103</v>
      </c>
      <c r="BB63" s="50">
        <v>0.19847026242911775</v>
      </c>
      <c r="BC63" s="50">
        <v>0.20044837135698274</v>
      </c>
      <c r="BD63" s="35"/>
      <c r="BE63" s="49">
        <v>24</v>
      </c>
      <c r="BF63" s="52">
        <f t="shared" si="5"/>
        <v>0.4122217832213881</v>
      </c>
      <c r="BG63" s="55">
        <v>15166</v>
      </c>
      <c r="BH63" s="56">
        <v>6.251755564335572</v>
      </c>
      <c r="BI63" s="56">
        <f t="shared" si="6"/>
        <v>6.470567009087317</v>
      </c>
    </row>
    <row r="64" spans="1:61" ht="15">
      <c r="A64" s="49">
        <v>25</v>
      </c>
      <c r="B64">
        <v>0.16194122181413032</v>
      </c>
      <c r="C64">
        <v>0.1861801659824389</v>
      </c>
      <c r="D64">
        <v>0.5474660367324635</v>
      </c>
      <c r="E64">
        <v>0.5129882138084726</v>
      </c>
      <c r="F64">
        <v>0.7052281961725437</v>
      </c>
      <c r="G64">
        <v>0.6979147185826062</v>
      </c>
      <c r="H64">
        <v>1.0103046899242218</v>
      </c>
      <c r="I64">
        <v>1.0583646855152395</v>
      </c>
      <c r="J64">
        <v>1.1597085892615162</v>
      </c>
      <c r="K64">
        <v>1.2338881476737393</v>
      </c>
      <c r="L64">
        <v>0.12140373063547265</v>
      </c>
      <c r="M64">
        <v>0.13657919696490675</v>
      </c>
      <c r="N64" s="51"/>
      <c r="O64" s="49">
        <v>25</v>
      </c>
      <c r="P64" s="50">
        <v>0.22226874980057007</v>
      </c>
      <c r="Q64" s="50">
        <v>0.23931591055223622</v>
      </c>
      <c r="R64" s="50">
        <v>0.6316194372686066</v>
      </c>
      <c r="S64" s="50">
        <v>0.592279818338382</v>
      </c>
      <c r="T64" s="50">
        <v>0.8130187912246424</v>
      </c>
      <c r="U64" s="50">
        <v>0.8064621880696049</v>
      </c>
      <c r="V64" s="50">
        <v>1.1659825944041577</v>
      </c>
      <c r="W64" s="50">
        <v>1.2238992556069883</v>
      </c>
      <c r="X64" s="50">
        <v>1.3375470436276375</v>
      </c>
      <c r="Y64" s="50">
        <v>1.427153953413149</v>
      </c>
      <c r="Z64" s="50">
        <v>0.16550178029803506</v>
      </c>
      <c r="AA64" s="50">
        <v>0.1753923249373599</v>
      </c>
      <c r="AB64" s="51"/>
      <c r="AC64" s="49">
        <v>25</v>
      </c>
      <c r="AD64" s="50">
        <v>0.3173394539925543</v>
      </c>
      <c r="AE64" s="50">
        <v>0.3271743544262079</v>
      </c>
      <c r="AF64" s="50">
        <v>0.6862577968939186</v>
      </c>
      <c r="AG64" s="50">
        <v>0.6447326435786814</v>
      </c>
      <c r="AH64" s="50">
        <v>0.8971618650476229</v>
      </c>
      <c r="AI64" s="50">
        <v>0.8906052618925854</v>
      </c>
      <c r="AJ64" s="50">
        <v>1.3244338373175624</v>
      </c>
      <c r="AK64" s="50">
        <v>1.3899998688679371</v>
      </c>
      <c r="AL64" s="50">
        <v>1.541894508626304</v>
      </c>
      <c r="AM64" s="50">
        <v>1.644614624721891</v>
      </c>
      <c r="AN64" s="50">
        <v>0.21033891599630752</v>
      </c>
      <c r="AO64" s="50">
        <v>0.21561387313728075</v>
      </c>
      <c r="AP64" s="51"/>
      <c r="AQ64" s="49">
        <v>25</v>
      </c>
      <c r="AR64" s="50">
        <v>0.47185666747239996</v>
      </c>
      <c r="AS64" s="50">
        <v>0.46224032038171653</v>
      </c>
      <c r="AT64" s="50">
        <v>0.7485455268667741</v>
      </c>
      <c r="AU64" s="50">
        <v>0.7026493047815121</v>
      </c>
      <c r="AV64" s="50">
        <v>0.9922326107956656</v>
      </c>
      <c r="AW64" s="50">
        <v>0.984583240448122</v>
      </c>
      <c r="AX64" s="50">
        <v>1.5112970272361295</v>
      </c>
      <c r="AY64" s="50">
        <v>1.5866979635190601</v>
      </c>
      <c r="AZ64" s="50">
        <v>1.7877671269402082</v>
      </c>
      <c r="BA64" s="50">
        <v>1.9068787509233882</v>
      </c>
      <c r="BB64" s="50">
        <v>0.2729790320453646</v>
      </c>
      <c r="BC64" s="50">
        <v>0.2696821838322564</v>
      </c>
      <c r="BD64" s="35"/>
      <c r="BE64" s="49">
        <v>25</v>
      </c>
      <c r="BF64" s="52">
        <f t="shared" si="5"/>
        <v>0.4240748057421309</v>
      </c>
      <c r="BG64" s="55">
        <v>15166</v>
      </c>
      <c r="BH64" s="56">
        <v>6.431518503885157</v>
      </c>
      <c r="BI64" s="56">
        <f t="shared" si="6"/>
        <v>6.656621651521137</v>
      </c>
    </row>
    <row r="65" spans="1:61" ht="15">
      <c r="A65" s="49">
        <v>26</v>
      </c>
      <c r="B65">
        <v>0.21222011333238633</v>
      </c>
      <c r="C65">
        <v>0.2199216497033197</v>
      </c>
      <c r="D65">
        <v>0.547665042925387</v>
      </c>
      <c r="E65">
        <v>0.5123663194555866</v>
      </c>
      <c r="F65">
        <v>0.704904811109043</v>
      </c>
      <c r="G65">
        <v>0.6984868613872612</v>
      </c>
      <c r="H65">
        <v>1.010827081180646</v>
      </c>
      <c r="I65">
        <v>1.0578920458070464</v>
      </c>
      <c r="J65">
        <v>1.1605792413555565</v>
      </c>
      <c r="K65">
        <v>1.2343856631560481</v>
      </c>
      <c r="L65">
        <v>0.1574454631678786</v>
      </c>
      <c r="M65">
        <v>0.1599747075561176</v>
      </c>
      <c r="N65" s="51"/>
      <c r="O65" s="49">
        <v>26</v>
      </c>
      <c r="P65" s="50">
        <v>0.2794724884060313</v>
      </c>
      <c r="Q65" s="50">
        <v>0.2694034235715465</v>
      </c>
      <c r="R65" s="50">
        <v>0.6309945884382547</v>
      </c>
      <c r="S65" s="50">
        <v>0.5929559075749558</v>
      </c>
      <c r="T65" s="50">
        <v>0.812237714904562</v>
      </c>
      <c r="U65" s="50">
        <v>0.8066437912481945</v>
      </c>
      <c r="V65" s="50">
        <v>1.1657736899869884</v>
      </c>
      <c r="W65" s="50">
        <v>1.2239504960132104</v>
      </c>
      <c r="X65" s="50">
        <v>1.3380665386031079</v>
      </c>
      <c r="Y65" s="50">
        <v>1.4264505323737142</v>
      </c>
      <c r="Z65" s="50">
        <v>0.20572332849795597</v>
      </c>
      <c r="AA65" s="50">
        <v>0.19583278385863118</v>
      </c>
      <c r="AB65" s="51"/>
      <c r="AC65" s="49">
        <v>26</v>
      </c>
      <c r="AD65" s="50">
        <v>0.39672115447869766</v>
      </c>
      <c r="AE65" s="50">
        <v>0.3665139599752435</v>
      </c>
      <c r="AF65" s="50">
        <v>0.6869338250019299</v>
      </c>
      <c r="AG65" s="50">
        <v>0.6444200052135368</v>
      </c>
      <c r="AH65" s="50">
        <v>0.8972653544813481</v>
      </c>
      <c r="AI65" s="50">
        <v>0.8905526460937071</v>
      </c>
      <c r="AJ65" s="50">
        <v>1.3246411218278258</v>
      </c>
      <c r="AK65" s="50">
        <v>1.3906494209729623</v>
      </c>
      <c r="AL65" s="50">
        <v>1.541685359694885</v>
      </c>
      <c r="AM65" s="50">
        <v>1.6446135549720469</v>
      </c>
      <c r="AN65" s="50">
        <v>0.2604510088355532</v>
      </c>
      <c r="AO65" s="50">
        <v>0.2406699195569036</v>
      </c>
      <c r="AP65" s="51"/>
      <c r="AQ65" s="49">
        <v>26</v>
      </c>
      <c r="AR65" s="50">
        <v>0.5860195733670104</v>
      </c>
      <c r="AS65" s="50">
        <v>0.514193577547686</v>
      </c>
      <c r="AT65" s="50">
        <v>0.7484669852219725</v>
      </c>
      <c r="AU65" s="50">
        <v>0.7025968112397589</v>
      </c>
      <c r="AV65" s="50">
        <v>0.9923620566395956</v>
      </c>
      <c r="AW65" s="50">
        <v>0.9845305635206812</v>
      </c>
      <c r="AX65" s="50">
        <v>1.5114781719505004</v>
      </c>
      <c r="AY65" s="50">
        <v>1.5864367489458249</v>
      </c>
      <c r="AZ65" s="50">
        <v>1.7878180005750552</v>
      </c>
      <c r="BA65" s="50">
        <v>1.90752796682132</v>
      </c>
      <c r="BB65" s="50">
        <v>0.3356191480944217</v>
      </c>
      <c r="BC65" s="50">
        <v>0.29803507846498745</v>
      </c>
      <c r="BD65" s="35"/>
      <c r="BE65" s="49">
        <v>26</v>
      </c>
      <c r="BF65" s="52">
        <f t="shared" si="5"/>
        <v>0.39905175819834054</v>
      </c>
      <c r="BG65" s="55">
        <v>15166</v>
      </c>
      <c r="BH65" s="56">
        <v>6.052018964836033</v>
      </c>
      <c r="BI65" s="56">
        <f t="shared" si="6"/>
        <v>6.263839628605293</v>
      </c>
    </row>
    <row r="66" spans="1:61" ht="15">
      <c r="A66" s="49">
        <v>27</v>
      </c>
      <c r="B66">
        <v>0.2397494508663743</v>
      </c>
      <c r="C66">
        <v>0.26363673619035494</v>
      </c>
      <c r="D66">
        <v>0.5478737567374775</v>
      </c>
      <c r="E66">
        <v>0.512809836306279</v>
      </c>
      <c r="F66">
        <v>0.7056613986778711</v>
      </c>
      <c r="G66">
        <v>0.6979911660835464</v>
      </c>
      <c r="H66">
        <v>1.0102792074239086</v>
      </c>
      <c r="I66">
        <v>1.0584920980168064</v>
      </c>
      <c r="J66">
        <v>1.1603966167699773</v>
      </c>
      <c r="K66">
        <v>1.2338117001727993</v>
      </c>
      <c r="L66">
        <v>0.17641479607967123</v>
      </c>
      <c r="M66">
        <v>0.18969332911792602</v>
      </c>
      <c r="N66" s="51"/>
      <c r="O66" s="49">
        <v>27</v>
      </c>
      <c r="P66" s="50">
        <v>0.3087519133679264</v>
      </c>
      <c r="Q66" s="50">
        <v>0.3296104316429682</v>
      </c>
      <c r="R66" s="50">
        <v>0.6314860551604787</v>
      </c>
      <c r="S66" s="50">
        <v>0.5925195835171824</v>
      </c>
      <c r="T66" s="50">
        <v>0.8125655410322676</v>
      </c>
      <c r="U66" s="50">
        <v>0.8068351775553122</v>
      </c>
      <c r="V66" s="50">
        <v>1.1655559312127166</v>
      </c>
      <c r="W66" s="50">
        <v>1.2240056386776612</v>
      </c>
      <c r="X66" s="50">
        <v>1.337466835521377</v>
      </c>
      <c r="Y66" s="50">
        <v>1.4268605057618804</v>
      </c>
      <c r="Z66" s="50">
        <v>0.2261637874192272</v>
      </c>
      <c r="AA66" s="50">
        <v>0.23737307134379532</v>
      </c>
      <c r="AB66" s="51"/>
      <c r="AC66" s="49">
        <v>27</v>
      </c>
      <c r="AD66" s="50">
        <v>0.4361951678835664</v>
      </c>
      <c r="AE66" s="50">
        <v>0.44559296183166214</v>
      </c>
      <c r="AF66" s="50">
        <v>0.68649754453925</v>
      </c>
      <c r="AG66" s="50">
        <v>0.6440928548097805</v>
      </c>
      <c r="AH66" s="50">
        <v>0.8973749204912067</v>
      </c>
      <c r="AI66" s="50">
        <v>0.8904984843188601</v>
      </c>
      <c r="AJ66" s="50">
        <v>1.3237139631766843</v>
      </c>
      <c r="AK66" s="50">
        <v>1.3901861795093662</v>
      </c>
      <c r="AL66" s="50">
        <v>1.5426138479963785</v>
      </c>
      <c r="AM66" s="50">
        <v>1.6446143178861832</v>
      </c>
      <c r="AN66" s="50">
        <v>0.28550705525517606</v>
      </c>
      <c r="AO66" s="50">
        <v>0.28880390346828433</v>
      </c>
      <c r="AP66" s="51"/>
      <c r="AQ66" s="49">
        <v>27</v>
      </c>
      <c r="AR66" s="50">
        <v>0.6401960609032059</v>
      </c>
      <c r="AS66" s="50">
        <v>0.6216296874935534</v>
      </c>
      <c r="AT66" s="50">
        <v>0.7483854700903678</v>
      </c>
      <c r="AU66" s="50">
        <v>0.702542562274725</v>
      </c>
      <c r="AV66" s="50">
        <v>0.9924989542086653</v>
      </c>
      <c r="AW66" s="50">
        <v>0.9844764453409279</v>
      </c>
      <c r="AX66" s="50">
        <v>1.5105238125254283</v>
      </c>
      <c r="AY66" s="50">
        <v>1.5861646104212388</v>
      </c>
      <c r="AZ66" s="50">
        <v>1.7878734048100668</v>
      </c>
      <c r="BA66" s="50">
        <v>1.907064965130738</v>
      </c>
      <c r="BB66" s="50">
        <v>0.3652907820123961</v>
      </c>
      <c r="BC66" s="50">
        <v>0.356059607015693</v>
      </c>
      <c r="BD66" s="35"/>
      <c r="BE66" s="49">
        <v>27</v>
      </c>
      <c r="BF66" s="52">
        <f t="shared" si="5"/>
        <v>0.42670881074674044</v>
      </c>
      <c r="BG66" s="55">
        <v>15166</v>
      </c>
      <c r="BH66" s="56">
        <v>6.471465823785065</v>
      </c>
      <c r="BI66" s="56">
        <f t="shared" si="6"/>
        <v>6.697967127617542</v>
      </c>
    </row>
    <row r="67" spans="1:61" ht="15">
      <c r="A67" s="49">
        <v>28</v>
      </c>
      <c r="B67">
        <v>0.2911180685933472</v>
      </c>
      <c r="C67">
        <v>0.3045957569541503</v>
      </c>
      <c r="D67">
        <v>0.5480929062401725</v>
      </c>
      <c r="E67">
        <v>0.5132755289995059</v>
      </c>
      <c r="F67">
        <v>0.7053326744238285</v>
      </c>
      <c r="G67">
        <v>0.6985938272159575</v>
      </c>
      <c r="H67">
        <v>1.010827081180646</v>
      </c>
      <c r="I67">
        <v>1.0579990116357427</v>
      </c>
      <c r="J67">
        <v>1.1602048609551192</v>
      </c>
      <c r="K67">
        <v>1.2343321802417</v>
      </c>
      <c r="L67">
        <v>0.21245652861207712</v>
      </c>
      <c r="M67">
        <v>0.21814732848561494</v>
      </c>
      <c r="N67" s="51"/>
      <c r="O67" s="49">
        <v>28</v>
      </c>
      <c r="P67" s="50">
        <v>0.3742671482722861</v>
      </c>
      <c r="Q67" s="50">
        <v>0.3613451814455593</v>
      </c>
      <c r="R67" s="50">
        <v>0.6308266295767235</v>
      </c>
      <c r="S67" s="50">
        <v>0.5920607473122322</v>
      </c>
      <c r="T67" s="50">
        <v>0.8129088038493346</v>
      </c>
      <c r="U67" s="50">
        <v>0.8070351853244118</v>
      </c>
      <c r="V67" s="50">
        <v>1.165325915344711</v>
      </c>
      <c r="W67" s="50">
        <v>1.2240621005939405</v>
      </c>
      <c r="X67" s="50">
        <v>1.3380102999774455</v>
      </c>
      <c r="Y67" s="50">
        <v>1.427289301556274</v>
      </c>
      <c r="Z67" s="50">
        <v>0.2729790320453646</v>
      </c>
      <c r="AA67" s="50">
        <v>0.25847289990768824</v>
      </c>
      <c r="AB67" s="51"/>
      <c r="AC67" s="49">
        <v>28</v>
      </c>
      <c r="AD67" s="50">
        <v>0.5255716325706866</v>
      </c>
      <c r="AE67" s="50">
        <v>0.4861008975363213</v>
      </c>
      <c r="AF67" s="50">
        <v>0.6860386437109992</v>
      </c>
      <c r="AG67" s="50">
        <v>0.6449233140365387</v>
      </c>
      <c r="AH67" s="50">
        <v>0.8963141869032405</v>
      </c>
      <c r="AI67" s="50">
        <v>0.8904405683783174</v>
      </c>
      <c r="AJ67" s="50">
        <v>1.3239136155176303</v>
      </c>
      <c r="AK67" s="50">
        <v>1.3896981429967672</v>
      </c>
      <c r="AL67" s="50">
        <v>1.5424122246447636</v>
      </c>
      <c r="AM67" s="50">
        <v>1.6446131869784228</v>
      </c>
      <c r="AN67" s="50">
        <v>0.3422128445206383</v>
      </c>
      <c r="AO67" s="50">
        <v>0.31320058024528546</v>
      </c>
      <c r="AP67" s="51"/>
      <c r="AQ67" s="49">
        <v>28</v>
      </c>
      <c r="AR67" s="50">
        <v>0.7668599949533846</v>
      </c>
      <c r="AS67" s="50">
        <v>0.6735868889495569</v>
      </c>
      <c r="AT67" s="50">
        <v>0.7482990000751824</v>
      </c>
      <c r="AU67" s="50">
        <v>0.7024847755807835</v>
      </c>
      <c r="AV67" s="50">
        <v>0.9926415307119766</v>
      </c>
      <c r="AW67" s="50">
        <v>0.9844184647770846</v>
      </c>
      <c r="AX67" s="50">
        <v>1.5106946846101796</v>
      </c>
      <c r="AY67" s="50">
        <v>1.5858770017291934</v>
      </c>
      <c r="AZ67" s="50">
        <v>1.7879294789865428</v>
      </c>
      <c r="BA67" s="50">
        <v>1.9065765731899857</v>
      </c>
      <c r="BB67" s="50">
        <v>0.4351839641302914</v>
      </c>
      <c r="BC67" s="50">
        <v>0.38375313200580247</v>
      </c>
      <c r="BD67" s="35"/>
      <c r="BE67" s="49">
        <v>28</v>
      </c>
      <c r="BF67" s="52">
        <f t="shared" si="5"/>
        <v>0.44251284077439745</v>
      </c>
      <c r="BG67" s="55">
        <v>15166</v>
      </c>
      <c r="BH67" s="56">
        <v>6.711149743184512</v>
      </c>
      <c r="BI67" s="56">
        <f t="shared" si="6"/>
        <v>6.946039984195969</v>
      </c>
    </row>
    <row r="68" spans="1:61" s="2" customFormat="1" ht="15">
      <c r="A68" s="190">
        <v>29</v>
      </c>
      <c r="B68" s="2">
        <v>0.33083692757551136</v>
      </c>
      <c r="C68" s="2">
        <v>0.3483464028510955</v>
      </c>
      <c r="D68" s="2">
        <v>0.5483232941789031</v>
      </c>
      <c r="E68" s="2">
        <v>0.5126131636756552</v>
      </c>
      <c r="F68" s="2">
        <v>0.7049870925157327</v>
      </c>
      <c r="G68" s="2">
        <v>0.6980754543538136</v>
      </c>
      <c r="H68" s="2">
        <v>1.0102511113338193</v>
      </c>
      <c r="I68" s="2">
        <v>1.0586325784672521</v>
      </c>
      <c r="J68" s="2">
        <v>1.1600032715087298</v>
      </c>
      <c r="K68" s="2">
        <v>1.233727411902532</v>
      </c>
      <c r="L68" s="2">
        <v>0.24027821688270629</v>
      </c>
      <c r="M68" s="2">
        <v>0.24723363895036357</v>
      </c>
      <c r="N68" s="191"/>
      <c r="O68" s="190">
        <v>29</v>
      </c>
      <c r="P68" s="192">
        <v>0.41687651057492814</v>
      </c>
      <c r="Q68" s="192">
        <v>0.4197681395500144</v>
      </c>
      <c r="R68" s="192">
        <v>0.6313389928938218</v>
      </c>
      <c r="S68" s="192">
        <v>0.5927839398926724</v>
      </c>
      <c r="T68" s="192">
        <v>0.8132706492429956</v>
      </c>
      <c r="U68" s="192">
        <v>0.8072464222115662</v>
      </c>
      <c r="V68" s="192">
        <v>1.1650855078784843</v>
      </c>
      <c r="W68" s="192">
        <v>1.2241229327864944</v>
      </c>
      <c r="X68" s="192">
        <v>1.3373784009773706</v>
      </c>
      <c r="Y68" s="192">
        <v>1.4265369610425287</v>
      </c>
      <c r="Z68" s="192">
        <v>0.300672557035474</v>
      </c>
      <c r="AA68" s="192">
        <v>0.29671633917974416</v>
      </c>
      <c r="AB68" s="191"/>
      <c r="AC68" s="190">
        <v>29</v>
      </c>
      <c r="AD68" s="192">
        <v>0.5824222693986135</v>
      </c>
      <c r="AE68" s="192">
        <v>0.5616989284104956</v>
      </c>
      <c r="AF68" s="192">
        <v>0.6867618815829741</v>
      </c>
      <c r="AG68" s="192">
        <v>0.6445922923629669</v>
      </c>
      <c r="AH68" s="192">
        <v>0.896404982276724</v>
      </c>
      <c r="AI68" s="192">
        <v>0.8903807552452945</v>
      </c>
      <c r="AJ68" s="192">
        <v>1.3241251015082256</v>
      </c>
      <c r="AK68" s="192">
        <v>1.390391598853951</v>
      </c>
      <c r="AL68" s="192">
        <v>1.542202120045977</v>
      </c>
      <c r="AM68" s="192">
        <v>1.6446139795802803</v>
      </c>
      <c r="AN68" s="192">
        <v>0.37518132665172094</v>
      </c>
      <c r="AO68" s="192">
        <v>0.35737834630093634</v>
      </c>
      <c r="AP68" s="191"/>
      <c r="AQ68" s="190">
        <v>29</v>
      </c>
      <c r="AR68" s="192">
        <v>0.8441146916439152</v>
      </c>
      <c r="AS68" s="192">
        <v>0.7737517199168175</v>
      </c>
      <c r="AT68" s="192">
        <v>0.7482089973035561</v>
      </c>
      <c r="AU68" s="192">
        <v>0.7024248718646912</v>
      </c>
      <c r="AV68" s="192">
        <v>0.9915877693733117</v>
      </c>
      <c r="AW68" s="192">
        <v>0.9843586969355963</v>
      </c>
      <c r="AX68" s="192">
        <v>1.510876139482543</v>
      </c>
      <c r="AY68" s="192">
        <v>1.586781400078556</v>
      </c>
      <c r="AZ68" s="192">
        <v>1.7879905829283045</v>
      </c>
      <c r="BA68" s="192">
        <v>1.9072702781506106</v>
      </c>
      <c r="BB68" s="192">
        <v>0.47408677304496905</v>
      </c>
      <c r="BC68" s="192">
        <v>0.4351839641302914</v>
      </c>
      <c r="BD68" s="169"/>
      <c r="BE68" s="190">
        <v>29</v>
      </c>
      <c r="BF68" s="193">
        <f t="shared" si="5"/>
        <v>0.43856183326748327</v>
      </c>
      <c r="BG68" s="194">
        <v>15166</v>
      </c>
      <c r="BH68" s="195">
        <v>6.651228763334651</v>
      </c>
      <c r="BI68" s="195">
        <f t="shared" si="6"/>
        <v>6.884021770051364</v>
      </c>
    </row>
    <row r="69" spans="1:61" s="2" customFormat="1" ht="15">
      <c r="A69" s="190">
        <v>30</v>
      </c>
      <c r="B69" s="2">
        <v>0.36507983047432946</v>
      </c>
      <c r="C69" s="2">
        <v>0.37619301184239523</v>
      </c>
      <c r="D69" s="2">
        <v>0.5473835539025019</v>
      </c>
      <c r="E69" s="2">
        <v>0.5130981909150881</v>
      </c>
      <c r="F69" s="2">
        <v>0.7046233220861579</v>
      </c>
      <c r="G69" s="2">
        <v>0.6987120526055695</v>
      </c>
      <c r="H69" s="2">
        <v>1.0108270811806461</v>
      </c>
      <c r="I69" s="2">
        <v>1.0581172370253547</v>
      </c>
      <c r="J69" s="2">
        <v>1.1597910720914781</v>
      </c>
      <c r="K69" s="2">
        <v>1.234273067546894</v>
      </c>
      <c r="L69" s="2">
        <v>0.2624091052797977</v>
      </c>
      <c r="M69" s="2">
        <v>0.26367372747391715</v>
      </c>
      <c r="N69" s="191"/>
      <c r="O69" s="190">
        <v>30</v>
      </c>
      <c r="P69" s="192">
        <v>0.4451586768103491</v>
      </c>
      <c r="Q69" s="192">
        <v>0.4402124692902341</v>
      </c>
      <c r="R69" s="192">
        <v>0.6318783232348214</v>
      </c>
      <c r="S69" s="192">
        <v>0.5923086435019166</v>
      </c>
      <c r="T69" s="192">
        <v>0.8124149870161989</v>
      </c>
      <c r="U69" s="192">
        <v>0.8062322245579324</v>
      </c>
      <c r="V69" s="192">
        <v>1.166068999629034</v>
      </c>
      <c r="W69" s="192">
        <v>1.2241869667367382</v>
      </c>
      <c r="X69" s="192">
        <v>1.337949795968839</v>
      </c>
      <c r="Y69" s="192">
        <v>1.4269815753678743</v>
      </c>
      <c r="Z69" s="192">
        <v>0.3178161677436371</v>
      </c>
      <c r="AA69" s="192">
        <v>0.3092443623895556</v>
      </c>
      <c r="AB69" s="191"/>
      <c r="AC69" s="190">
        <v>30</v>
      </c>
      <c r="AD69" s="192">
        <v>0.6185232503903795</v>
      </c>
      <c r="AE69" s="192">
        <v>0.5858782807576206</v>
      </c>
      <c r="AF69" s="192">
        <v>0.6862866328675652</v>
      </c>
      <c r="AG69" s="192">
        <v>0.644243848151354</v>
      </c>
      <c r="AH69" s="192">
        <v>0.8965005564486213</v>
      </c>
      <c r="AI69" s="192">
        <v>0.8903177939903548</v>
      </c>
      <c r="AJ69" s="192">
        <v>1.3243477185606531</v>
      </c>
      <c r="AK69" s="192">
        <v>1.3898850006182764</v>
      </c>
      <c r="AL69" s="192">
        <v>1.5419809570916287</v>
      </c>
      <c r="AM69" s="192">
        <v>1.6446148138988501</v>
      </c>
      <c r="AN69" s="192">
        <v>0.3936436766451272</v>
      </c>
      <c r="AO69" s="192">
        <v>0.3705657391533694</v>
      </c>
      <c r="AP69" s="191"/>
      <c r="AQ69" s="190">
        <v>30</v>
      </c>
      <c r="AR69" s="192">
        <v>0.8908119743727098</v>
      </c>
      <c r="AS69" s="192">
        <v>0.8020275493866457</v>
      </c>
      <c r="AT69" s="192">
        <v>0.7481142574502287</v>
      </c>
      <c r="AU69" s="192">
        <v>0.7023618152590577</v>
      </c>
      <c r="AV69" s="192">
        <v>0.9917150983059231</v>
      </c>
      <c r="AW69" s="192">
        <v>0.9842957833560034</v>
      </c>
      <c r="AX69" s="192">
        <v>1.5110671448002968</v>
      </c>
      <c r="AY69" s="192">
        <v>1.5864968467911462</v>
      </c>
      <c r="AZ69" s="192">
        <v>1.7880549029306294</v>
      </c>
      <c r="BA69" s="192">
        <v>1.9067639421293434</v>
      </c>
      <c r="BB69" s="192">
        <v>0.49386786232361857</v>
      </c>
      <c r="BC69" s="192">
        <v>0.4483713569827245</v>
      </c>
      <c r="BD69" s="169"/>
      <c r="BE69" s="190">
        <v>30</v>
      </c>
      <c r="BF69" s="193">
        <f t="shared" si="5"/>
        <v>0.4760964045831687</v>
      </c>
      <c r="BG69" s="194">
        <v>15166</v>
      </c>
      <c r="BH69" s="195">
        <v>7.220478071908337</v>
      </c>
      <c r="BI69" s="195">
        <f t="shared" si="6"/>
        <v>7.473194804425129</v>
      </c>
    </row>
    <row r="70" spans="1:61" ht="15">
      <c r="A70" s="49">
        <v>31</v>
      </c>
      <c r="B70">
        <v>0.42740065606000704</v>
      </c>
      <c r="C70">
        <v>0.41695848094035914</v>
      </c>
      <c r="D70">
        <v>0.5476072235585241</v>
      </c>
      <c r="E70">
        <v>0.5123952291390181</v>
      </c>
      <c r="F70">
        <v>0.7054540950942406</v>
      </c>
      <c r="G70">
        <v>0.6981688548695153</v>
      </c>
      <c r="H70">
        <v>1.0102199778285856</v>
      </c>
      <c r="I70">
        <v>1.0587882459934215</v>
      </c>
      <c r="J70">
        <v>1.1595674024354559</v>
      </c>
      <c r="K70">
        <v>1.2336340113868305</v>
      </c>
      <c r="L70">
        <v>0.30540625987986086</v>
      </c>
      <c r="M70">
        <v>0.2883338602592475</v>
      </c>
      <c r="N70" s="51"/>
      <c r="O70" s="49">
        <v>31</v>
      </c>
      <c r="P70" s="50">
        <v>0.5181485333729564</v>
      </c>
      <c r="Q70" s="50">
        <v>0.4871612191222209</v>
      </c>
      <c r="R70" s="50">
        <v>0.6311760320744102</v>
      </c>
      <c r="S70" s="50">
        <v>0.5930768752087516</v>
      </c>
      <c r="T70" s="50">
        <v>0.8127820131340495</v>
      </c>
      <c r="U70" s="50">
        <v>0.8064321536564396</v>
      </c>
      <c r="V70" s="50">
        <v>1.165834200089152</v>
      </c>
      <c r="W70" s="50">
        <v>1.2242529072831618</v>
      </c>
      <c r="X70" s="50">
        <v>1.3372804059846157</v>
      </c>
      <c r="Y70" s="50">
        <v>1.4274484105666743</v>
      </c>
      <c r="Z70" s="50">
        <v>0.36792826058288275</v>
      </c>
      <c r="AA70" s="50">
        <v>0.3395753659501517</v>
      </c>
      <c r="AB70" s="51"/>
      <c r="AC70" s="49">
        <v>31</v>
      </c>
      <c r="AD70" s="50">
        <v>0.716264149074381</v>
      </c>
      <c r="AE70" s="50">
        <v>0.6448917285460474</v>
      </c>
      <c r="AF70" s="50">
        <v>0.6870547954773761</v>
      </c>
      <c r="AG70" s="50">
        <v>0.6438757510296298</v>
      </c>
      <c r="AH70" s="50">
        <v>0.8966001582384981</v>
      </c>
      <c r="AI70" s="50">
        <v>0.8902502987608885</v>
      </c>
      <c r="AJ70" s="50">
        <v>1.3245806870293961</v>
      </c>
      <c r="AK70" s="50">
        <v>1.3906192255965375</v>
      </c>
      <c r="AL70" s="50">
        <v>1.54174588116365</v>
      </c>
      <c r="AM70" s="50">
        <v>1.644613604700928</v>
      </c>
      <c r="AN70" s="50">
        <v>0.45298694448107607</v>
      </c>
      <c r="AO70" s="50">
        <v>0.40485296056969533</v>
      </c>
      <c r="AP70" s="51"/>
      <c r="AQ70" s="49">
        <v>31</v>
      </c>
      <c r="AR70" s="50">
        <v>1.0251213140653197</v>
      </c>
      <c r="AS70" s="50">
        <v>0.8772965854265646</v>
      </c>
      <c r="AT70" s="50">
        <v>0.7480134464624298</v>
      </c>
      <c r="AU70" s="50">
        <v>0.7022944582236396</v>
      </c>
      <c r="AV70" s="50">
        <v>0.9918480504026446</v>
      </c>
      <c r="AW70" s="50">
        <v>0.9854981909250349</v>
      </c>
      <c r="AX70" s="50">
        <v>1.5112665556711231</v>
      </c>
      <c r="AY70" s="50">
        <v>1.5861948975069184</v>
      </c>
      <c r="AZ70" s="50">
        <v>1.7881204288949086</v>
      </c>
      <c r="BA70" s="50">
        <v>1.9074977870739722</v>
      </c>
      <c r="BB70" s="50">
        <v>0.5657391533693789</v>
      </c>
      <c r="BC70" s="50">
        <v>0.4879335355400238</v>
      </c>
      <c r="BD70" s="35"/>
      <c r="BE70" s="49">
        <v>31</v>
      </c>
      <c r="BF70" s="52">
        <f t="shared" si="5"/>
        <v>0.5011194521269591</v>
      </c>
      <c r="BG70" s="55">
        <v>15166</v>
      </c>
      <c r="BH70" s="56">
        <v>7.5999776109574615</v>
      </c>
      <c r="BI70" s="56">
        <f t="shared" si="6"/>
        <v>7.8659768273409725</v>
      </c>
    </row>
    <row r="71" spans="1:61" ht="15">
      <c r="A71" s="49">
        <v>32</v>
      </c>
      <c r="B71">
        <v>0.47146959994469156</v>
      </c>
      <c r="C71">
        <v>0.43278363488835103</v>
      </c>
      <c r="D71">
        <v>0.5478433193065477</v>
      </c>
      <c r="E71">
        <v>0.5129011485990685</v>
      </c>
      <c r="F71">
        <v>0.7050830874902038</v>
      </c>
      <c r="G71">
        <v>0.6975954794814582</v>
      </c>
      <c r="H71">
        <v>1.010827081180646</v>
      </c>
      <c r="I71">
        <v>1.0582485985693677</v>
      </c>
      <c r="J71">
        <v>1.1605792413555567</v>
      </c>
      <c r="K71">
        <v>1.2342073867748877</v>
      </c>
      <c r="L71">
        <v>0.33449257034460955</v>
      </c>
      <c r="M71">
        <v>0.2971862156180841</v>
      </c>
      <c r="N71" s="51"/>
      <c r="O71" s="49">
        <v>32</v>
      </c>
      <c r="P71" s="50">
        <v>0.5643896251507888</v>
      </c>
      <c r="Q71" s="50">
        <v>0.5001713791808101</v>
      </c>
      <c r="R71" s="50">
        <v>0.6317407983167501</v>
      </c>
      <c r="S71" s="50">
        <v>0.592583310817778</v>
      </c>
      <c r="T71" s="50">
        <v>0.8131704903953211</v>
      </c>
      <c r="U71" s="50">
        <v>0.8066442424788256</v>
      </c>
      <c r="V71" s="50">
        <v>1.1655878778860698</v>
      </c>
      <c r="W71" s="50">
        <v>1.223018859551229</v>
      </c>
      <c r="X71" s="50">
        <v>1.3378808228815473</v>
      </c>
      <c r="Y71" s="50">
        <v>1.4266377945458841</v>
      </c>
      <c r="Z71" s="50">
        <v>0.39825926414347884</v>
      </c>
      <c r="AA71" s="50">
        <v>0.34353158380588156</v>
      </c>
      <c r="AB71" s="51"/>
      <c r="AC71" s="49">
        <v>32</v>
      </c>
      <c r="AD71" s="50">
        <v>0.7761009970274261</v>
      </c>
      <c r="AE71" s="50">
        <v>0.6588896456431965</v>
      </c>
      <c r="AF71" s="50">
        <v>0.686561280815311</v>
      </c>
      <c r="AG71" s="50">
        <v>0.6447932941497408</v>
      </c>
      <c r="AH71" s="50">
        <v>0.8967064637264615</v>
      </c>
      <c r="AI71" s="50">
        <v>0.8901802158099661</v>
      </c>
      <c r="AJ71" s="50">
        <v>1.3235230774652575</v>
      </c>
      <c r="AK71" s="50">
        <v>1.39009080621351</v>
      </c>
      <c r="AL71" s="50">
        <v>1.5428050074595014</v>
      </c>
      <c r="AM71" s="50">
        <v>1.6446144749568288</v>
      </c>
      <c r="AN71" s="50">
        <v>0.4879335355400238</v>
      </c>
      <c r="AO71" s="50">
        <v>0.40749043914018196</v>
      </c>
      <c r="AP71" s="51"/>
      <c r="AQ71" s="49">
        <v>32</v>
      </c>
      <c r="AR71" s="50">
        <v>1.103718471386464</v>
      </c>
      <c r="AS71" s="50">
        <v>0.8904408008276321</v>
      </c>
      <c r="AT71" s="50">
        <v>0.7479080112303674</v>
      </c>
      <c r="AU71" s="50">
        <v>0.7022242758149</v>
      </c>
      <c r="AV71" s="50">
        <v>0.9919896833072935</v>
      </c>
      <c r="AW71" s="50">
        <v>0.9854634353907983</v>
      </c>
      <c r="AX71" s="50">
        <v>1.5114790174603239</v>
      </c>
      <c r="AY71" s="50">
        <v>1.5858782437083707</v>
      </c>
      <c r="AZ71" s="50">
        <v>1.7881919291197266</v>
      </c>
      <c r="BA71" s="50">
        <v>1.906969641199942</v>
      </c>
      <c r="BB71" s="50">
        <v>0.6059607015692997</v>
      </c>
      <c r="BC71" s="50">
        <v>0.4879335355400238</v>
      </c>
      <c r="BD71" s="35"/>
      <c r="BE71" s="49">
        <v>32</v>
      </c>
      <c r="BF71" s="52">
        <f t="shared" si="5"/>
        <v>0.5228499934149876</v>
      </c>
      <c r="BG71" s="55">
        <v>15166</v>
      </c>
      <c r="BH71" s="56">
        <v>7.9295430001317015</v>
      </c>
      <c r="BI71" s="56">
        <f t="shared" si="6"/>
        <v>8.20707700513631</v>
      </c>
    </row>
    <row r="72" spans="1:61" ht="15">
      <c r="A72" s="49">
        <v>33</v>
      </c>
      <c r="B72">
        <v>0.5131791280113654</v>
      </c>
      <c r="C72">
        <v>0.520110511931479</v>
      </c>
      <c r="D72">
        <v>0.5480929062401725</v>
      </c>
      <c r="E72">
        <v>0.5134359777425503</v>
      </c>
      <c r="F72">
        <v>0.7046908794516504</v>
      </c>
      <c r="G72">
        <v>0.6982729297298687</v>
      </c>
      <c r="H72">
        <v>1.010185286208468</v>
      </c>
      <c r="I72">
        <v>1.0589617040940102</v>
      </c>
      <c r="J72">
        <v>1.1603653096981639</v>
      </c>
      <c r="K72">
        <v>1.2335299365264771</v>
      </c>
      <c r="L72">
        <v>0.3597850142269997</v>
      </c>
      <c r="M72">
        <v>0.3540942143534619</v>
      </c>
      <c r="N72" s="51"/>
      <c r="O72" s="49">
        <v>33</v>
      </c>
      <c r="P72" s="50">
        <v>0.6127360490446607</v>
      </c>
      <c r="Q72" s="50">
        <v>0.6105879822644865</v>
      </c>
      <c r="R72" s="50">
        <v>0.6309944472488642</v>
      </c>
      <c r="S72" s="50">
        <v>0.5920607473122321</v>
      </c>
      <c r="T72" s="50">
        <v>0.812237533160772</v>
      </c>
      <c r="U72" s="50">
        <v>0.806867367652271</v>
      </c>
      <c r="V72" s="50">
        <v>1.1653259153447109</v>
      </c>
      <c r="W72" s="50">
        <v>1.2230551945610961</v>
      </c>
      <c r="X72" s="50">
        <v>1.337171211616742</v>
      </c>
      <c r="Y72" s="50">
        <v>1.4271214838841335</v>
      </c>
      <c r="Z72" s="50">
        <v>0.42727152841883165</v>
      </c>
      <c r="AA72" s="50">
        <v>0.41342476592377686</v>
      </c>
      <c r="AB72" s="51"/>
      <c r="AC72" s="49">
        <v>33</v>
      </c>
      <c r="AD72" s="50">
        <v>0.838014552615419</v>
      </c>
      <c r="AE72" s="50">
        <v>0.7998863672673288</v>
      </c>
      <c r="AF72" s="50">
        <v>0.6860386437109991</v>
      </c>
      <c r="AG72" s="50">
        <v>0.6444198610201166</v>
      </c>
      <c r="AH72" s="50">
        <v>0.8968176399196622</v>
      </c>
      <c r="AI72" s="50">
        <v>0.890104933034036</v>
      </c>
      <c r="AJ72" s="50">
        <v>1.3237457978454894</v>
      </c>
      <c r="AK72" s="50">
        <v>1.3895303253246263</v>
      </c>
      <c r="AL72" s="50">
        <v>1.542580042316904</v>
      </c>
      <c r="AM72" s="50">
        <v>1.6446131869784226</v>
      </c>
      <c r="AN72" s="50">
        <v>0.5202426480284847</v>
      </c>
      <c r="AO72" s="50">
        <v>0.4879335355400238</v>
      </c>
      <c r="AP72" s="51"/>
      <c r="AQ72" s="49">
        <v>33</v>
      </c>
      <c r="AR72" s="50">
        <v>1.1838533042234485</v>
      </c>
      <c r="AS72" s="50">
        <v>1.0745704067820911</v>
      </c>
      <c r="AT72" s="50">
        <v>0.7477955470587604</v>
      </c>
      <c r="AU72" s="50">
        <v>0.7021491402365021</v>
      </c>
      <c r="AV72" s="50">
        <v>0.9921380776955545</v>
      </c>
      <c r="AW72" s="50">
        <v>0.9854253708099284</v>
      </c>
      <c r="AX72" s="50">
        <v>1.5117015906430236</v>
      </c>
      <c r="AY72" s="50">
        <v>1.5868839077620374</v>
      </c>
      <c r="AZ72" s="50">
        <v>1.7882651143308237</v>
      </c>
      <c r="BA72" s="50">
        <v>1.9077512968949704</v>
      </c>
      <c r="BB72" s="50">
        <v>0.6415666622708691</v>
      </c>
      <c r="BC72" s="50">
        <v>0.5795859158644335</v>
      </c>
      <c r="BD72" s="35"/>
      <c r="BE72" s="49">
        <v>33</v>
      </c>
      <c r="BF72" s="52">
        <f t="shared" si="5"/>
        <v>0.56236006848413</v>
      </c>
      <c r="BG72" s="55">
        <v>15166</v>
      </c>
      <c r="BH72" s="56">
        <v>8.528752798630316</v>
      </c>
      <c r="BI72" s="56">
        <f t="shared" si="6"/>
        <v>8.827259146582376</v>
      </c>
    </row>
    <row r="73" spans="1:61" ht="15">
      <c r="A73" s="49">
        <v>34</v>
      </c>
      <c r="B73">
        <v>0.5544352041513403</v>
      </c>
      <c r="C73">
        <v>0.5792764382744223</v>
      </c>
      <c r="D73">
        <v>0.5483571747581283</v>
      </c>
      <c r="E73">
        <v>0.5126809248341054</v>
      </c>
      <c r="F73">
        <v>0.7055969429417842</v>
      </c>
      <c r="G73">
        <v>0.6976688874031125</v>
      </c>
      <c r="H73">
        <v>1.010827081180646</v>
      </c>
      <c r="I73">
        <v>1.0583954144126764</v>
      </c>
      <c r="J73">
        <v>1.1601387938256302</v>
      </c>
      <c r="K73">
        <v>1.234133978853233</v>
      </c>
      <c r="L73">
        <v>0.38634208030350936</v>
      </c>
      <c r="M73">
        <v>0.38823901359468854</v>
      </c>
      <c r="N73" s="51"/>
      <c r="O73" s="49">
        <v>34</v>
      </c>
      <c r="P73" s="50">
        <v>0.6813399372172197</v>
      </c>
      <c r="Q73" s="50">
        <v>0.6912905407627857</v>
      </c>
      <c r="R73" s="50">
        <v>0.6315870940636342</v>
      </c>
      <c r="S73" s="50">
        <v>0.5928902918015296</v>
      </c>
      <c r="T73" s="50">
        <v>0.8126328475041945</v>
      </c>
      <c r="U73" s="50">
        <v>0.8071047328953224</v>
      </c>
      <c r="V73" s="50">
        <v>1.165050153819789</v>
      </c>
      <c r="W73" s="50">
        <v>1.2230953572129457</v>
      </c>
      <c r="X73" s="50">
        <v>1.3378037353470411</v>
      </c>
      <c r="Y73" s="50">
        <v>1.4262535690889944</v>
      </c>
      <c r="Z73" s="50">
        <v>0.4714492944744824</v>
      </c>
      <c r="AA73" s="50">
        <v>0.46419622840564423</v>
      </c>
      <c r="AB73" s="51"/>
      <c r="AC73" s="49">
        <v>34</v>
      </c>
      <c r="AD73" s="50">
        <v>0.926788158007845</v>
      </c>
      <c r="AE73" s="50">
        <v>0.9008060265277563</v>
      </c>
      <c r="AF73" s="50">
        <v>0.6868682401523548</v>
      </c>
      <c r="AG73" s="50">
        <v>0.6440253519335963</v>
      </c>
      <c r="AH73" s="50">
        <v>0.8969365952894935</v>
      </c>
      <c r="AI73" s="50">
        <v>0.8900264520284036</v>
      </c>
      <c r="AJ73" s="50">
        <v>1.3239834488248612</v>
      </c>
      <c r="AK73" s="50">
        <v>1.3903208241313258</v>
      </c>
      <c r="AL73" s="50">
        <v>1.542343975875308</v>
      </c>
      <c r="AM73" s="50">
        <v>1.6446140961394413</v>
      </c>
      <c r="AN73" s="50">
        <v>0.5716734801529738</v>
      </c>
      <c r="AO73" s="50">
        <v>0.5446393248054859</v>
      </c>
      <c r="AP73" s="51"/>
      <c r="AQ73" s="49">
        <v>34</v>
      </c>
      <c r="AR73" s="50">
        <v>1.3010414135827397</v>
      </c>
      <c r="AS73" s="50">
        <v>1.2026410007432549</v>
      </c>
      <c r="AT73" s="50">
        <v>0.7476775008499477</v>
      </c>
      <c r="AU73" s="50">
        <v>0.7020705553267531</v>
      </c>
      <c r="AV73" s="50">
        <v>0.9922965722925369</v>
      </c>
      <c r="AW73" s="50">
        <v>0.9853864290314467</v>
      </c>
      <c r="AX73" s="50">
        <v>1.5105573168742934</v>
      </c>
      <c r="AY73" s="50">
        <v>1.5865688927462844</v>
      </c>
      <c r="AZ73" s="50">
        <v>1.788345075970115</v>
      </c>
      <c r="BA73" s="50">
        <v>1.9071995400608648</v>
      </c>
      <c r="BB73" s="50">
        <v>0.7009099301068179</v>
      </c>
      <c r="BC73" s="50">
        <v>0.643544771198734</v>
      </c>
      <c r="BD73" s="35"/>
      <c r="BE73" s="49">
        <v>34</v>
      </c>
      <c r="BF73" s="52">
        <f t="shared" si="5"/>
        <v>0.5992361385486633</v>
      </c>
      <c r="BG73" s="55">
        <v>15166</v>
      </c>
      <c r="BH73" s="56">
        <v>9.088015277229028</v>
      </c>
      <c r="BI73" s="56">
        <f t="shared" si="6"/>
        <v>9.406095811932042</v>
      </c>
    </row>
    <row r="74" spans="1:61" ht="15">
      <c r="A74" s="49">
        <v>35</v>
      </c>
      <c r="B74">
        <v>0.6229688167077623</v>
      </c>
      <c r="C74">
        <v>0.6186123914160996</v>
      </c>
      <c r="D74">
        <v>0.5472760762755821</v>
      </c>
      <c r="E74">
        <v>0.5132414944176479</v>
      </c>
      <c r="F74">
        <v>0.7051965360963968</v>
      </c>
      <c r="G74">
        <v>0.69838961972481</v>
      </c>
      <c r="H74">
        <v>1.0101463895434872</v>
      </c>
      <c r="I74">
        <v>1.0577948041445953</v>
      </c>
      <c r="J74">
        <v>1.1598985497183976</v>
      </c>
      <c r="K74">
        <v>1.2347746298058533</v>
      </c>
      <c r="L74">
        <v>0.430603857097692</v>
      </c>
      <c r="M74">
        <v>0.41036990199178</v>
      </c>
      <c r="N74" s="51"/>
      <c r="O74" s="49">
        <v>35</v>
      </c>
      <c r="P74" s="50">
        <v>0.739008213955266</v>
      </c>
      <c r="Q74" s="50">
        <v>0.7367299612725523</v>
      </c>
      <c r="R74" s="50">
        <v>0.6307908522511259</v>
      </c>
      <c r="S74" s="50">
        <v>0.5923453601274682</v>
      </c>
      <c r="T74" s="50">
        <v>0.8130509630595777</v>
      </c>
      <c r="U74" s="50">
        <v>0.8073553345968135</v>
      </c>
      <c r="V74" s="50">
        <v>1.166179927750953</v>
      </c>
      <c r="W74" s="50">
        <v>1.223136212378594</v>
      </c>
      <c r="X74" s="50">
        <v>1.3370487816338765</v>
      </c>
      <c r="Y74" s="50">
        <v>1.4267549299224112</v>
      </c>
      <c r="Z74" s="50">
        <v>0.5050771462481868</v>
      </c>
      <c r="AA74" s="50">
        <v>0.49057101411051035</v>
      </c>
      <c r="AB74" s="51"/>
      <c r="AC74" s="49">
        <v>35</v>
      </c>
      <c r="AD74" s="50">
        <v>1.000152927711327</v>
      </c>
      <c r="AE74" s="50">
        <v>0.955157437227731</v>
      </c>
      <c r="AF74" s="50">
        <v>0.6863232297630761</v>
      </c>
      <c r="AG74" s="50">
        <v>0.6450299234080362</v>
      </c>
      <c r="AH74" s="50">
        <v>0.8970614828853484</v>
      </c>
      <c r="AI74" s="50">
        <v>0.8899419473068932</v>
      </c>
      <c r="AJ74" s="50">
        <v>1.3242336175926572</v>
      </c>
      <c r="AK74" s="50">
        <v>1.3897333449144444</v>
      </c>
      <c r="AL74" s="50">
        <v>1.5420914062933846</v>
      </c>
      <c r="AM74" s="50">
        <v>1.6446127186231387</v>
      </c>
      <c r="AN74" s="50">
        <v>0.6085981801397864</v>
      </c>
      <c r="AO74" s="50">
        <v>0.5723328497955954</v>
      </c>
      <c r="AP74" s="51"/>
      <c r="AQ74" s="49">
        <v>35</v>
      </c>
      <c r="AR74" s="50">
        <v>1.3951449865768202</v>
      </c>
      <c r="AS74" s="50">
        <v>1.267278054759512</v>
      </c>
      <c r="AT74" s="50">
        <v>0.7475512357377904</v>
      </c>
      <c r="AU74" s="50">
        <v>0.7019862080356774</v>
      </c>
      <c r="AV74" s="50">
        <v>0.9924632596366473</v>
      </c>
      <c r="AW74" s="50">
        <v>0.9853437240581921</v>
      </c>
      <c r="AX74" s="50">
        <v>1.510765449748182</v>
      </c>
      <c r="AY74" s="50">
        <v>1.5862325268798065</v>
      </c>
      <c r="AZ74" s="50">
        <v>1.7884273373079327</v>
      </c>
      <c r="BA74" s="50">
        <v>1.906611627910288</v>
      </c>
      <c r="BB74" s="50">
        <v>0.7411314783067388</v>
      </c>
      <c r="BC74" s="50">
        <v>0.6725570354740867</v>
      </c>
      <c r="BD74" s="35"/>
      <c r="BE74" s="49">
        <v>35</v>
      </c>
      <c r="BF74" s="52">
        <f t="shared" si="5"/>
        <v>0.6255761885947583</v>
      </c>
      <c r="BG74" s="55">
        <v>15166</v>
      </c>
      <c r="BH74" s="56">
        <v>9.487488476228105</v>
      </c>
      <c r="BI74" s="56">
        <f t="shared" si="6"/>
        <v>9.819550572896087</v>
      </c>
    </row>
    <row r="75" spans="1:61" ht="15">
      <c r="A75" s="49">
        <v>36</v>
      </c>
      <c r="B75">
        <v>0.6629339079322105</v>
      </c>
      <c r="C75">
        <v>0.7014014832760109</v>
      </c>
      <c r="D75">
        <v>0.5475313356395166</v>
      </c>
      <c r="E75">
        <v>0.5124331730985219</v>
      </c>
      <c r="F75">
        <v>0.7047711038231725</v>
      </c>
      <c r="G75">
        <v>0.6977514713149736</v>
      </c>
      <c r="H75">
        <v>1.0108270811806461</v>
      </c>
      <c r="I75">
        <v>1.0585605822363986</v>
      </c>
      <c r="J75">
        <v>1.1596432903544633</v>
      </c>
      <c r="K75">
        <v>1.2340513949413718</v>
      </c>
      <c r="L75">
        <v>0.4521024343977237</v>
      </c>
      <c r="M75">
        <v>0.45779323427126145</v>
      </c>
      <c r="N75" s="51"/>
      <c r="O75" s="49">
        <v>36</v>
      </c>
      <c r="P75" s="50">
        <v>0.7958755438605251</v>
      </c>
      <c r="Q75" s="50">
        <v>0.819076343847603</v>
      </c>
      <c r="R75" s="50">
        <v>0.6314141768635162</v>
      </c>
      <c r="S75" s="50">
        <v>0.5932356452392106</v>
      </c>
      <c r="T75" s="50">
        <v>0.8120279995477314</v>
      </c>
      <c r="U75" s="50">
        <v>0.8061543792978382</v>
      </c>
      <c r="V75" s="50">
        <v>1.1659136196037951</v>
      </c>
      <c r="W75" s="50">
        <v>1.2231814170402535</v>
      </c>
      <c r="X75" s="50">
        <v>1.3377170119131703</v>
      </c>
      <c r="Y75" s="50">
        <v>1.4272897207240414</v>
      </c>
      <c r="Z75" s="50">
        <v>0.5400237373071344</v>
      </c>
      <c r="AA75" s="50">
        <v>0.5367268890940261</v>
      </c>
      <c r="AB75" s="51"/>
      <c r="AC75" s="49">
        <v>36</v>
      </c>
      <c r="AD75" s="50">
        <v>1.0713483335805147</v>
      </c>
      <c r="AE75" s="50">
        <v>1.0563706019432872</v>
      </c>
      <c r="AF75" s="50">
        <v>0.6872135692375013</v>
      </c>
      <c r="AG75" s="50">
        <v>0.6446298224257758</v>
      </c>
      <c r="AH75" s="50">
        <v>0.8971954931711823</v>
      </c>
      <c r="AI75" s="50">
        <v>0.8898534678588157</v>
      </c>
      <c r="AJ75" s="50">
        <v>1.3245013663509106</v>
      </c>
      <c r="AK75" s="50">
        <v>1.390579594162209</v>
      </c>
      <c r="AL75" s="50">
        <v>1.5418253155969581</v>
      </c>
      <c r="AM75" s="50">
        <v>1.6446136699700886</v>
      </c>
      <c r="AN75" s="50">
        <v>0.647500989054464</v>
      </c>
      <c r="AO75" s="50">
        <v>0.6224449426348411</v>
      </c>
      <c r="AP75" s="51"/>
      <c r="AQ75" s="49">
        <v>36</v>
      </c>
      <c r="AR75" s="50">
        <v>1.4851448801854887</v>
      </c>
      <c r="AS75" s="50">
        <v>1.3932227232746606</v>
      </c>
      <c r="AT75" s="50">
        <v>0.7474181767989063</v>
      </c>
      <c r="AU75" s="50">
        <v>0.7018976198622343</v>
      </c>
      <c r="AV75" s="50">
        <v>0.9926418222319464</v>
      </c>
      <c r="AW75" s="50">
        <v>0.9852997969195798</v>
      </c>
      <c r="AX75" s="50">
        <v>1.5109888092850188</v>
      </c>
      <c r="AY75" s="50">
        <v>1.585877467471157</v>
      </c>
      <c r="AZ75" s="50">
        <v>1.7885173660924714</v>
      </c>
      <c r="BA75" s="50">
        <v>1.9074581761528082</v>
      </c>
      <c r="BB75" s="50">
        <v>0.7839905050771463</v>
      </c>
      <c r="BC75" s="50">
        <v>0.7266253461690624</v>
      </c>
      <c r="BD75" s="35"/>
      <c r="BE75" s="49">
        <v>36</v>
      </c>
      <c r="BF75" s="52">
        <f t="shared" si="5"/>
        <v>0.6762807849334914</v>
      </c>
      <c r="BG75" s="55">
        <v>15166</v>
      </c>
      <c r="BH75" s="56">
        <v>10.256474384301331</v>
      </c>
      <c r="BI75" s="56">
        <f t="shared" si="6"/>
        <v>10.615450987751878</v>
      </c>
    </row>
    <row r="76" spans="1:61" ht="15">
      <c r="A76" s="49">
        <v>37</v>
      </c>
      <c r="B76">
        <v>0.7344616720567767</v>
      </c>
      <c r="C76">
        <v>0.7669240664018278</v>
      </c>
      <c r="D76">
        <v>0.5478030633495113</v>
      </c>
      <c r="E76">
        <v>0.5130219164701774</v>
      </c>
      <c r="F76">
        <v>0.7057674387598203</v>
      </c>
      <c r="G76">
        <v>0.6985213664932923</v>
      </c>
      <c r="H76">
        <v>1.0101024739539932</v>
      </c>
      <c r="I76">
        <v>1.0579265509130775</v>
      </c>
      <c r="J76">
        <v>1.1593715626444685</v>
      </c>
      <c r="K76">
        <v>1.2347307142163588</v>
      </c>
      <c r="L76">
        <v>0.49383496680366734</v>
      </c>
      <c r="M76">
        <v>0.4950995889977869</v>
      </c>
      <c r="N76" s="51"/>
      <c r="O76" s="49">
        <v>37</v>
      </c>
      <c r="P76" s="50">
        <v>0.8746010106567935</v>
      </c>
      <c r="Q76" s="50">
        <v>0.9067353978767658</v>
      </c>
      <c r="R76" s="50">
        <v>0.6305619428583555</v>
      </c>
      <c r="S76" s="50">
        <v>0.5926675953308101</v>
      </c>
      <c r="T76" s="50">
        <v>0.8124548109905734</v>
      </c>
      <c r="U76" s="50">
        <v>0.8063917153861662</v>
      </c>
      <c r="V76" s="50">
        <v>1.1656301299472966</v>
      </c>
      <c r="W76" s="50">
        <v>1.2232295381891658</v>
      </c>
      <c r="X76" s="50">
        <v>1.3384283546729037</v>
      </c>
      <c r="Y76" s="50">
        <v>1.4263432409368089</v>
      </c>
      <c r="Z76" s="50">
        <v>0.5888170908611366</v>
      </c>
      <c r="AA76" s="50">
        <v>0.5881577212185151</v>
      </c>
      <c r="AB76" s="51"/>
      <c r="AC76" s="49">
        <v>37</v>
      </c>
      <c r="AD76" s="50">
        <v>1.1710862059505003</v>
      </c>
      <c r="AE76" s="50">
        <v>1.1635073410401295</v>
      </c>
      <c r="AF76" s="50">
        <v>0.6866455771991228</v>
      </c>
      <c r="AG76" s="50">
        <v>0.6442039079682719</v>
      </c>
      <c r="AH76" s="50">
        <v>0.8973381494522751</v>
      </c>
      <c r="AI76" s="50">
        <v>0.8897592799467661</v>
      </c>
      <c r="AJ76" s="50">
        <v>1.3247863895629872</v>
      </c>
      <c r="AK76" s="50">
        <v>1.3899646673103652</v>
      </c>
      <c r="AL76" s="50">
        <v>1.541542057420547</v>
      </c>
      <c r="AM76" s="50">
        <v>1.6446146826954704</v>
      </c>
      <c r="AN76" s="50">
        <v>0.7022286693920613</v>
      </c>
      <c r="AO76" s="50">
        <v>0.6784913622576816</v>
      </c>
      <c r="AP76" s="51"/>
      <c r="AQ76" s="49">
        <v>37</v>
      </c>
      <c r="AR76" s="50">
        <v>1.6133887621197418</v>
      </c>
      <c r="AS76" s="50">
        <v>1.5248676199666105</v>
      </c>
      <c r="AT76" s="50">
        <v>0.7472765332431953</v>
      </c>
      <c r="AU76" s="50">
        <v>0.7018033162101408</v>
      </c>
      <c r="AV76" s="50">
        <v>0.9928319052216895</v>
      </c>
      <c r="AW76" s="50">
        <v>0.9852530357161804</v>
      </c>
      <c r="AX76" s="50">
        <v>1.5112265793985107</v>
      </c>
      <c r="AY76" s="50">
        <v>1.5870152744536015</v>
      </c>
      <c r="AZ76" s="50">
        <v>1.7886132033001432</v>
      </c>
      <c r="BA76" s="50">
        <v>1.9068435675860846</v>
      </c>
      <c r="BB76" s="50">
        <v>0.8459712514835818</v>
      </c>
      <c r="BC76" s="50">
        <v>0.7886060925754979</v>
      </c>
      <c r="BD76" s="35"/>
      <c r="BE76" s="49">
        <v>37</v>
      </c>
      <c r="BF76" s="52">
        <f t="shared" si="5"/>
        <v>0.7302778875279863</v>
      </c>
      <c r="BG76" s="55">
        <v>15166</v>
      </c>
      <c r="BH76" s="56">
        <v>11.07539444224944</v>
      </c>
      <c r="BI76" s="56">
        <f t="shared" si="6"/>
        <v>11.46303324772817</v>
      </c>
    </row>
    <row r="77" spans="1:61" ht="15">
      <c r="A77" s="49">
        <v>38</v>
      </c>
      <c r="B77">
        <v>0.7963817492903995</v>
      </c>
      <c r="C77">
        <v>0.8350177950438639</v>
      </c>
      <c r="D77">
        <v>0.5480929062401726</v>
      </c>
      <c r="E77">
        <v>0.512152387798194</v>
      </c>
      <c r="F77">
        <v>0.7053326744238285</v>
      </c>
      <c r="G77">
        <v>0.697845066415083</v>
      </c>
      <c r="H77">
        <v>1.0108270811806461</v>
      </c>
      <c r="I77">
        <v>1.0587477724366177</v>
      </c>
      <c r="J77">
        <v>1.1605792413555565</v>
      </c>
      <c r="K77">
        <v>1.2339577998412627</v>
      </c>
      <c r="L77">
        <v>0.5305090104331331</v>
      </c>
      <c r="M77">
        <v>0.5330382548213721</v>
      </c>
      <c r="N77" s="51"/>
      <c r="O77" s="49">
        <v>38</v>
      </c>
      <c r="P77" s="50">
        <v>0.960141142314219</v>
      </c>
      <c r="Q77" s="50">
        <v>0.9839488835265779</v>
      </c>
      <c r="R77" s="50">
        <v>0.6312182041450518</v>
      </c>
      <c r="S77" s="50">
        <v>0.5920607473122322</v>
      </c>
      <c r="T77" s="50">
        <v>0.8129088038493347</v>
      </c>
      <c r="U77" s="50">
        <v>0.8066436107560836</v>
      </c>
      <c r="V77" s="50">
        <v>1.165325915344711</v>
      </c>
      <c r="W77" s="50">
        <v>1.223278951457284</v>
      </c>
      <c r="X77" s="50">
        <v>1.3376187254091172</v>
      </c>
      <c r="Y77" s="50">
        <v>1.426897726987946</v>
      </c>
      <c r="Z77" s="50">
        <v>0.6369510747725174</v>
      </c>
      <c r="AA77" s="50">
        <v>0.6264011604905709</v>
      </c>
      <c r="AB77" s="51"/>
      <c r="AC77" s="49">
        <v>38</v>
      </c>
      <c r="AD77" s="50">
        <v>1.278726310905919</v>
      </c>
      <c r="AE77" s="50">
        <v>1.2558583489519426</v>
      </c>
      <c r="AF77" s="50">
        <v>0.6860386437109992</v>
      </c>
      <c r="AG77" s="50">
        <v>0.6437485903315541</v>
      </c>
      <c r="AH77" s="50">
        <v>0.8974889106082251</v>
      </c>
      <c r="AI77" s="50">
        <v>0.889657419241661</v>
      </c>
      <c r="AJ77" s="50">
        <v>1.323522040949302</v>
      </c>
      <c r="AK77" s="50">
        <v>1.390872866701752</v>
      </c>
      <c r="AL77" s="50">
        <v>1.5428037992130919</v>
      </c>
      <c r="AM77" s="50">
        <v>1.6446131869784228</v>
      </c>
      <c r="AN77" s="50">
        <v>0.7549782408017934</v>
      </c>
      <c r="AO77" s="50">
        <v>0.7187129104576025</v>
      </c>
      <c r="AP77" s="51"/>
      <c r="AQ77" s="49">
        <v>38</v>
      </c>
      <c r="AR77" s="50">
        <v>1.7511220181195706</v>
      </c>
      <c r="AS77" s="50">
        <v>1.6361556888440996</v>
      </c>
      <c r="AT77" s="50">
        <v>0.7486905746435106</v>
      </c>
      <c r="AU77" s="50">
        <v>0.7017016264441271</v>
      </c>
      <c r="AV77" s="50">
        <v>0.9914668070069922</v>
      </c>
      <c r="AW77" s="50">
        <v>0.9852016139137408</v>
      </c>
      <c r="AX77" s="50">
        <v>1.5114778337468364</v>
      </c>
      <c r="AY77" s="50">
        <v>1.58666015086585</v>
      </c>
      <c r="AZ77" s="50">
        <v>1.7887126281231989</v>
      </c>
      <c r="BA77" s="50">
        <v>1.9077512968949706</v>
      </c>
      <c r="BB77" s="50">
        <v>0.9033364103916656</v>
      </c>
      <c r="BC77" s="50">
        <v>0.8294870104180404</v>
      </c>
      <c r="BD77" s="35"/>
      <c r="BE77" s="49">
        <v>38</v>
      </c>
      <c r="BF77" s="52">
        <f t="shared" si="5"/>
        <v>0.8007375214012906</v>
      </c>
      <c r="BG77" s="55">
        <v>15166</v>
      </c>
      <c r="BH77" s="56">
        <v>12.143985249571974</v>
      </c>
      <c r="BI77" s="56">
        <f t="shared" si="6"/>
        <v>12.569024733306993</v>
      </c>
    </row>
    <row r="78" spans="1:61" ht="15">
      <c r="A78" s="49">
        <v>39</v>
      </c>
      <c r="B78">
        <v>0.8910767156325096</v>
      </c>
      <c r="C78">
        <v>0.9130747847597376</v>
      </c>
      <c r="D78">
        <v>0.5484027382957068</v>
      </c>
      <c r="E78">
        <v>0.5127720519092626</v>
      </c>
      <c r="F78">
        <v>0.7048679263405272</v>
      </c>
      <c r="G78">
        <v>0.6986712852298411</v>
      </c>
      <c r="H78">
        <v>1.0100525010418102</v>
      </c>
      <c r="I78">
        <v>1.0580764696496265</v>
      </c>
      <c r="J78">
        <v>1.1603210479759447</v>
      </c>
      <c r="K78">
        <v>1.2346807413041763</v>
      </c>
      <c r="L78">
        <v>0.5880493202655707</v>
      </c>
      <c r="M78">
        <v>0.5709769206449572</v>
      </c>
      <c r="N78" s="51"/>
      <c r="O78" s="49">
        <v>39</v>
      </c>
      <c r="P78" s="50">
        <v>1.0765333551967038</v>
      </c>
      <c r="Q78" s="50">
        <v>1.0655152534276828</v>
      </c>
      <c r="R78" s="50">
        <v>0.6319207474164164</v>
      </c>
      <c r="S78" s="50">
        <v>0.5930333168061753</v>
      </c>
      <c r="T78" s="50">
        <v>0.813395423597541</v>
      </c>
      <c r="U78" s="50">
        <v>0.8069141851625009</v>
      </c>
      <c r="V78" s="50">
        <v>1.1650026086984702</v>
      </c>
      <c r="W78" s="50">
        <v>1.2233337546138316</v>
      </c>
      <c r="X78" s="50">
        <v>1.3383757368357945</v>
      </c>
      <c r="Y78" s="50">
        <v>1.427492765317597</v>
      </c>
      <c r="Z78" s="50">
        <v>0.7035474086773045</v>
      </c>
      <c r="AA78" s="50">
        <v>0.6699195569036002</v>
      </c>
      <c r="AB78" s="51"/>
      <c r="AC78" s="49">
        <v>39</v>
      </c>
      <c r="AD78" s="50">
        <v>1.42652011727149</v>
      </c>
      <c r="AE78" s="50">
        <v>1.352634023055702</v>
      </c>
      <c r="AF78" s="50">
        <v>0.6870112741142579</v>
      </c>
      <c r="AG78" s="50">
        <v>0.6448832242864967</v>
      </c>
      <c r="AH78" s="50">
        <v>0.8976515232530632</v>
      </c>
      <c r="AI78" s="50">
        <v>0.889549975209263</v>
      </c>
      <c r="AJ78" s="50">
        <v>1.3237929503569543</v>
      </c>
      <c r="AK78" s="50">
        <v>1.390225644316116</v>
      </c>
      <c r="AL78" s="50">
        <v>1.5425347475395599</v>
      </c>
      <c r="AM78" s="50">
        <v>1.6446142528914425</v>
      </c>
      <c r="AN78" s="50">
        <v>0.8294870104180404</v>
      </c>
      <c r="AO78" s="50">
        <v>0.76552815508374</v>
      </c>
      <c r="AP78" s="51"/>
      <c r="AQ78" s="49">
        <v>39</v>
      </c>
      <c r="AR78" s="50">
        <v>1.9411302822481205</v>
      </c>
      <c r="AS78" s="50">
        <v>1.7518781812743471</v>
      </c>
      <c r="AT78" s="50">
        <v>0.7485830392471394</v>
      </c>
      <c r="AU78" s="50">
        <v>0.7015940605930981</v>
      </c>
      <c r="AV78" s="50">
        <v>0.9916294805611457</v>
      </c>
      <c r="AW78" s="50">
        <v>0.9851482421261055</v>
      </c>
      <c r="AX78" s="50">
        <v>1.5117488649731192</v>
      </c>
      <c r="AY78" s="50">
        <v>1.586283106976081</v>
      </c>
      <c r="AZ78" s="50">
        <v>1.7872014984623261</v>
      </c>
      <c r="BA78" s="50">
        <v>1.9071044095105694</v>
      </c>
      <c r="BB78" s="50">
        <v>0.9850982460767506</v>
      </c>
      <c r="BC78" s="50">
        <v>0.8782803639720428</v>
      </c>
      <c r="BD78" s="35"/>
      <c r="BE78" s="49">
        <v>39</v>
      </c>
      <c r="BF78" s="52">
        <f t="shared" si="5"/>
        <v>0.8567101277492427</v>
      </c>
      <c r="BG78" s="55">
        <v>15166</v>
      </c>
      <c r="BH78" s="56">
        <v>12.992865797445015</v>
      </c>
      <c r="BI78" s="56">
        <f t="shared" si="6"/>
        <v>13.447616100355589</v>
      </c>
    </row>
    <row r="79" spans="1:61" ht="15">
      <c r="A79" s="49">
        <v>40</v>
      </c>
      <c r="B79">
        <v>0.9681474048547283</v>
      </c>
      <c r="C79">
        <v>1.0166029097049316</v>
      </c>
      <c r="D79">
        <v>0.5471302137819052</v>
      </c>
      <c r="E79">
        <v>0.5134359777425503</v>
      </c>
      <c r="F79">
        <v>0.7043699819655612</v>
      </c>
      <c r="G79">
        <v>0.6979520322437793</v>
      </c>
      <c r="H79">
        <v>1.010827081180646</v>
      </c>
      <c r="I79">
        <v>1.05896170409401</v>
      </c>
      <c r="J79">
        <v>1.1600444122120745</v>
      </c>
      <c r="K79">
        <v>1.2338508340125665</v>
      </c>
      <c r="L79">
        <v>0.6291495415744546</v>
      </c>
      <c r="M79">
        <v>0.6228264306038571</v>
      </c>
      <c r="N79" s="51"/>
      <c r="O79" s="49">
        <v>40</v>
      </c>
      <c r="P79" s="50">
        <v>1.159956139158488</v>
      </c>
      <c r="Q79" s="50">
        <v>1.2076163740428933</v>
      </c>
      <c r="R79" s="50">
        <v>0.6309942354648966</v>
      </c>
      <c r="S79" s="50">
        <v>0.5923961838274163</v>
      </c>
      <c r="T79" s="50">
        <v>0.8122372605452394</v>
      </c>
      <c r="U79" s="50">
        <v>0.8072027320707853</v>
      </c>
      <c r="V79" s="50">
        <v>1.166332429915168</v>
      </c>
      <c r="W79" s="50">
        <v>1.223390419292313</v>
      </c>
      <c r="X79" s="50">
        <v>1.3375063980466029</v>
      </c>
      <c r="Y79" s="50">
        <v>1.4264497344286229</v>
      </c>
      <c r="Z79" s="50">
        <v>0.7503626533034419</v>
      </c>
      <c r="AA79" s="50">
        <v>0.7444283265198469</v>
      </c>
      <c r="AB79" s="51"/>
      <c r="AC79" s="49">
        <v>40</v>
      </c>
      <c r="AD79" s="50">
        <v>1.5284838708702995</v>
      </c>
      <c r="AE79" s="50">
        <v>1.5254631517579076</v>
      </c>
      <c r="AF79" s="50">
        <v>0.6863740486838903</v>
      </c>
      <c r="AG79" s="50">
        <v>0.6444196447301073</v>
      </c>
      <c r="AH79" s="50">
        <v>0.8961460684528054</v>
      </c>
      <c r="AI79" s="50">
        <v>0.8894333638202001</v>
      </c>
      <c r="AJ79" s="50">
        <v>1.3240809887813922</v>
      </c>
      <c r="AK79" s="50">
        <v>1.3895298589492937</v>
      </c>
      <c r="AL79" s="50">
        <v>1.542243889341064</v>
      </c>
      <c r="AM79" s="50">
        <v>1.6446126349882948</v>
      </c>
      <c r="AN79" s="50">
        <v>0.8802584728999077</v>
      </c>
      <c r="AO79" s="50">
        <v>0.8446525121983384</v>
      </c>
      <c r="AP79" s="51"/>
      <c r="AQ79" s="49">
        <v>40</v>
      </c>
      <c r="AR79" s="50">
        <v>2.0671787792468543</v>
      </c>
      <c r="AS79" s="50">
        <v>1.9634674230547322</v>
      </c>
      <c r="AT79" s="50">
        <v>0.7484665665354892</v>
      </c>
      <c r="AU79" s="50">
        <v>0.7014776341072521</v>
      </c>
      <c r="AV79" s="50">
        <v>0.9918021094674307</v>
      </c>
      <c r="AW79" s="50">
        <v>0.9850894048348255</v>
      </c>
      <c r="AX79" s="50">
        <v>1.510358542336189</v>
      </c>
      <c r="AY79" s="50">
        <v>1.5858764694529983</v>
      </c>
      <c r="AZ79" s="50">
        <v>1.787257608431157</v>
      </c>
      <c r="BA79" s="50">
        <v>1.9064081156599006</v>
      </c>
      <c r="BB79" s="50">
        <v>1.0404852960569695</v>
      </c>
      <c r="BC79" s="50">
        <v>0.963339047870236</v>
      </c>
      <c r="BD79" s="35"/>
      <c r="BE79" s="49">
        <v>40</v>
      </c>
      <c r="BF79" s="52">
        <f t="shared" si="5"/>
        <v>0.9344132753852232</v>
      </c>
      <c r="BG79" s="55">
        <v>15166</v>
      </c>
      <c r="BH79" s="56">
        <v>14.171311734492296</v>
      </c>
      <c r="BI79" s="56">
        <f t="shared" si="6"/>
        <v>14.667307645199525</v>
      </c>
    </row>
    <row r="80" spans="1:61" ht="15">
      <c r="A80" s="49">
        <v>41</v>
      </c>
      <c r="B80">
        <v>1.0765512821110124</v>
      </c>
      <c r="C80">
        <v>1.1461028178022648</v>
      </c>
      <c r="D80">
        <v>0.5474273410838395</v>
      </c>
      <c r="E80">
        <v>0.5124851703763604</v>
      </c>
      <c r="F80">
        <v>0.7054990657129119</v>
      </c>
      <c r="G80">
        <v>0.6988434141495825</v>
      </c>
      <c r="H80">
        <v>1.00999512473523</v>
      </c>
      <c r="I80">
        <v>1.0582485985693677</v>
      </c>
      <c r="J80">
        <v>1.1597472849101402</v>
      </c>
      <c r="K80">
        <v>1.2346233649975955</v>
      </c>
      <c r="L80">
        <v>0.6917483401833702</v>
      </c>
      <c r="M80">
        <v>0.6923806512804299</v>
      </c>
      <c r="N80" s="51"/>
      <c r="O80" s="49">
        <v>41</v>
      </c>
      <c r="P80" s="50">
        <v>1.285757296777079</v>
      </c>
      <c r="Q80" s="50">
        <v>1.3515418471535998</v>
      </c>
      <c r="R80" s="50">
        <v>0.6317405234570651</v>
      </c>
      <c r="S80" s="50">
        <v>0.591712886984579</v>
      </c>
      <c r="T80" s="50">
        <v>0.8127350535935246</v>
      </c>
      <c r="U80" s="50">
        <v>0.8075140575318959</v>
      </c>
      <c r="V80" s="50">
        <v>1.1660224537637291</v>
      </c>
      <c r="W80" s="50">
        <v>1.2234534104416441</v>
      </c>
      <c r="X80" s="50">
        <v>1.338315323797474</v>
      </c>
      <c r="Y80" s="50">
        <v>1.427072256845161</v>
      </c>
      <c r="Z80" s="50">
        <v>0.8235526836344454</v>
      </c>
      <c r="AA80" s="50">
        <v>0.8149808782803639</v>
      </c>
      <c r="AB80" s="51"/>
      <c r="AC80" s="49">
        <v>41</v>
      </c>
      <c r="AD80" s="50">
        <v>1.6856855950978327</v>
      </c>
      <c r="AE80" s="50">
        <v>1.6982159856457413</v>
      </c>
      <c r="AF80" s="50">
        <v>0.6874311481144373</v>
      </c>
      <c r="AG80" s="50">
        <v>0.6439228476008654</v>
      </c>
      <c r="AH80" s="50">
        <v>0.8962709905795829</v>
      </c>
      <c r="AI80" s="50">
        <v>0.8910499945179542</v>
      </c>
      <c r="AJ80" s="50">
        <v>1.3243926676331312</v>
      </c>
      <c r="AK80" s="50">
        <v>1.3905252844137606</v>
      </c>
      <c r="AL80" s="50">
        <v>1.541934170200991</v>
      </c>
      <c r="AM80" s="50">
        <v>1.6446137594130208</v>
      </c>
      <c r="AN80" s="50">
        <v>0.9613609389423711</v>
      </c>
      <c r="AO80" s="50">
        <v>0.9191612818145852</v>
      </c>
      <c r="AP80" s="51"/>
      <c r="AQ80" s="49">
        <v>41</v>
      </c>
      <c r="AR80" s="50">
        <v>2.2652161579386116</v>
      </c>
      <c r="AS80" s="50">
        <v>2.1733266272539473</v>
      </c>
      <c r="AT80" s="50">
        <v>0.7483427688334381</v>
      </c>
      <c r="AU80" s="50">
        <v>0.7013538042787804</v>
      </c>
      <c r="AV80" s="50">
        <v>0.9919892517094413</v>
      </c>
      <c r="AW80" s="50">
        <v>0.9850279236272695</v>
      </c>
      <c r="AX80" s="50">
        <v>1.5106081938312192</v>
      </c>
      <c r="AY80" s="50">
        <v>1.5871828027351058</v>
      </c>
      <c r="AZ80" s="50">
        <v>1.787320985097537</v>
      </c>
      <c r="BA80" s="50">
        <v>1.9074038945149958</v>
      </c>
      <c r="BB80" s="50">
        <v>1.1301595674535145</v>
      </c>
      <c r="BC80" s="50">
        <v>1.0418040353422129</v>
      </c>
      <c r="BD80" s="35"/>
      <c r="BE80" s="49">
        <v>41</v>
      </c>
      <c r="BF80" s="52">
        <f t="shared" si="5"/>
        <v>1.0292374555511656</v>
      </c>
      <c r="BG80" s="55">
        <v>15166</v>
      </c>
      <c r="BH80" s="56">
        <v>15.60941525088898</v>
      </c>
      <c r="BI80" s="56">
        <f t="shared" si="6"/>
        <v>16.15574478467009</v>
      </c>
    </row>
    <row r="81" spans="1:61" ht="15">
      <c r="A81" s="49">
        <v>42</v>
      </c>
      <c r="B81">
        <v>1.1939850798518559</v>
      </c>
      <c r="C81">
        <v>1.2416753666881966</v>
      </c>
      <c r="D81">
        <v>0.5477473243320765</v>
      </c>
      <c r="E81">
        <v>0.5131891335224819</v>
      </c>
      <c r="F81">
        <v>0.7049870925157327</v>
      </c>
      <c r="G81">
        <v>0.6980754543538136</v>
      </c>
      <c r="H81">
        <v>1.010827081180646</v>
      </c>
      <c r="I81">
        <v>1.0592085483140787</v>
      </c>
      <c r="J81">
        <v>1.1594273016619034</v>
      </c>
      <c r="K81">
        <v>1.233727411902532</v>
      </c>
      <c r="L81">
        <v>0.7543471387922858</v>
      </c>
      <c r="M81">
        <v>0.7322162503951944</v>
      </c>
      <c r="N81" s="51"/>
      <c r="O81" s="49">
        <v>42</v>
      </c>
      <c r="P81" s="50">
        <v>1.426657273693011</v>
      </c>
      <c r="Q81" s="50">
        <v>1.4523204777548817</v>
      </c>
      <c r="R81" s="50">
        <v>0.6307369501609373</v>
      </c>
      <c r="S81" s="50">
        <v>0.592784296999391</v>
      </c>
      <c r="T81" s="50">
        <v>0.8132711391759937</v>
      </c>
      <c r="U81" s="50">
        <v>0.8060420623833182</v>
      </c>
      <c r="V81" s="50">
        <v>1.1656886328189242</v>
      </c>
      <c r="W81" s="50">
        <v>1.2235212471603283</v>
      </c>
      <c r="X81" s="50">
        <v>1.3373792066449675</v>
      </c>
      <c r="Y81" s="50">
        <v>1.4277426665534112</v>
      </c>
      <c r="Z81" s="50">
        <v>0.8980614532506923</v>
      </c>
      <c r="AA81" s="50">
        <v>0.862455492549123</v>
      </c>
      <c r="AB81" s="51"/>
      <c r="AC81" s="49">
        <v>42</v>
      </c>
      <c r="AD81" s="50">
        <v>1.86040156769646</v>
      </c>
      <c r="AE81" s="50">
        <v>1.8155813239827703</v>
      </c>
      <c r="AF81" s="50">
        <v>0.6867622953041724</v>
      </c>
      <c r="AG81" s="50">
        <v>0.6451951037462882</v>
      </c>
      <c r="AH81" s="50">
        <v>0.8964055222917618</v>
      </c>
      <c r="AI81" s="50">
        <v>0.8909837146972553</v>
      </c>
      <c r="AJ81" s="50">
        <v>1.3247283222577853</v>
      </c>
      <c r="AK81" s="50">
        <v>1.3897900133918648</v>
      </c>
      <c r="AL81" s="50">
        <v>1.5416006260380501</v>
      </c>
      <c r="AM81" s="50">
        <v>1.644614970333676</v>
      </c>
      <c r="AN81" s="50">
        <v>1.0424634049848345</v>
      </c>
      <c r="AO81" s="50">
        <v>0.9686140050112092</v>
      </c>
      <c r="AP81" s="51"/>
      <c r="AQ81" s="49">
        <v>42</v>
      </c>
      <c r="AR81" s="50">
        <v>2.4849933510614264</v>
      </c>
      <c r="AS81" s="50">
        <v>2.3093269119900297</v>
      </c>
      <c r="AT81" s="50">
        <v>0.7482094480419141</v>
      </c>
      <c r="AU81" s="50">
        <v>0.7030277180876924</v>
      </c>
      <c r="AV81" s="50">
        <v>0.9921907897947123</v>
      </c>
      <c r="AW81" s="50">
        <v>0.9849617130020368</v>
      </c>
      <c r="AX81" s="50">
        <v>1.5108770496691792</v>
      </c>
      <c r="AY81" s="50">
        <v>1.586782355992272</v>
      </c>
      <c r="AZ81" s="50">
        <v>1.7873892369890172</v>
      </c>
      <c r="BA81" s="50">
        <v>1.906669004068163</v>
      </c>
      <c r="BB81" s="50">
        <v>1.2171963602795728</v>
      </c>
      <c r="BC81" s="50">
        <v>1.0919161281814584</v>
      </c>
      <c r="BD81" s="35"/>
      <c r="BE81" s="49">
        <v>42</v>
      </c>
      <c r="BF81" s="52">
        <f t="shared" si="5"/>
        <v>1.1253786382194126</v>
      </c>
      <c r="BG81" s="55">
        <v>15166</v>
      </c>
      <c r="BH81" s="56">
        <v>17.067492427235614</v>
      </c>
      <c r="BI81" s="56">
        <f t="shared" si="6"/>
        <v>17.66485466218886</v>
      </c>
    </row>
    <row r="82" spans="1:61" ht="15">
      <c r="A82" s="49">
        <v>43</v>
      </c>
      <c r="B82">
        <v>1.336627400466364</v>
      </c>
      <c r="C82">
        <v>1.3139848819857562</v>
      </c>
      <c r="D82">
        <v>0.5480929062401725</v>
      </c>
      <c r="E82">
        <v>0.512152387798194</v>
      </c>
      <c r="F82">
        <v>0.7044341614627792</v>
      </c>
      <c r="G82">
        <v>0.6990430836964824</v>
      </c>
      <c r="H82">
        <v>1.0099285682195966</v>
      </c>
      <c r="I82">
        <v>1.0584482681162675</v>
      </c>
      <c r="J82">
        <v>1.1608787456759064</v>
      </c>
      <c r="K82">
        <v>1.2345568084819623</v>
      </c>
      <c r="L82">
        <v>0.8340183370218147</v>
      </c>
      <c r="M82">
        <v>0.7625671830540626</v>
      </c>
      <c r="N82" s="51"/>
      <c r="O82" s="49">
        <v>43</v>
      </c>
      <c r="P82" s="50">
        <v>1.580332899907112</v>
      </c>
      <c r="Q82" s="50">
        <v>1.5558986376583104</v>
      </c>
      <c r="R82" s="50">
        <v>0.6315314637997143</v>
      </c>
      <c r="S82" s="50">
        <v>0.5920607473122322</v>
      </c>
      <c r="T82" s="50">
        <v>0.8119690248853471</v>
      </c>
      <c r="U82" s="50">
        <v>0.806330351101421</v>
      </c>
      <c r="V82" s="50">
        <v>1.165325915344711</v>
      </c>
      <c r="W82" s="50">
        <v>1.2235922111119464</v>
      </c>
      <c r="X82" s="50">
        <v>1.3382452447184423</v>
      </c>
      <c r="Y82" s="50">
        <v>1.4265844673332833</v>
      </c>
      <c r="Z82" s="50">
        <v>0.9837795067915074</v>
      </c>
      <c r="AA82" s="50">
        <v>0.9006989318211789</v>
      </c>
      <c r="AB82" s="51"/>
      <c r="AC82" s="49">
        <v>43</v>
      </c>
      <c r="AD82" s="50">
        <v>2.050222558537914</v>
      </c>
      <c r="AE82" s="50">
        <v>1.9344417466512842</v>
      </c>
      <c r="AF82" s="50">
        <v>0.6860386437109992</v>
      </c>
      <c r="AG82" s="50">
        <v>0.6446883692955417</v>
      </c>
      <c r="AH82" s="50">
        <v>0.8965491316442372</v>
      </c>
      <c r="AI82" s="50">
        <v>0.8909104578603114</v>
      </c>
      <c r="AJ82" s="50">
        <v>1.3232087812946396</v>
      </c>
      <c r="AK82" s="50">
        <v>1.3908728667017518</v>
      </c>
      <c r="AL82" s="50">
        <v>1.541237500939779</v>
      </c>
      <c r="AM82" s="50">
        <v>1.6446131869784228</v>
      </c>
      <c r="AN82" s="50">
        <v>1.1360938942371095</v>
      </c>
      <c r="AO82" s="50">
        <v>1.0055387049980218</v>
      </c>
      <c r="AP82" s="51"/>
      <c r="AQ82" s="49">
        <v>43</v>
      </c>
      <c r="AR82" s="50">
        <v>2.721600902789603</v>
      </c>
      <c r="AS82" s="50">
        <v>2.4464335186954056</v>
      </c>
      <c r="AT82" s="50">
        <v>0.7480640553341855</v>
      </c>
      <c r="AU82" s="50">
        <v>0.7029546650627773</v>
      </c>
      <c r="AV82" s="50">
        <v>0.9924065859709797</v>
      </c>
      <c r="AW82" s="50">
        <v>0.9848883542590784</v>
      </c>
      <c r="AX82" s="50">
        <v>1.5111645740921735</v>
      </c>
      <c r="AY82" s="50">
        <v>1.586346891211187</v>
      </c>
      <c r="AZ82" s="50">
        <v>1.7874595895045486</v>
      </c>
      <c r="BA82" s="50">
        <v>1.9077512968949706</v>
      </c>
      <c r="BB82" s="50">
        <v>1.3193986548859291</v>
      </c>
      <c r="BC82" s="50">
        <v>1.1262033495977843</v>
      </c>
      <c r="BD82" s="35"/>
      <c r="BE82" s="49">
        <v>43</v>
      </c>
      <c r="BF82" s="52">
        <f t="shared" si="5"/>
        <v>1.2353483471618596</v>
      </c>
      <c r="BG82" s="55">
        <v>15166</v>
      </c>
      <c r="BH82" s="56">
        <v>18.735293033056763</v>
      </c>
      <c r="BI82" s="56">
        <f t="shared" si="6"/>
        <v>19.391028289213747</v>
      </c>
    </row>
    <row r="83" spans="1:61" ht="15">
      <c r="A83" s="49">
        <v>44</v>
      </c>
      <c r="B83">
        <v>1.4825458306955124</v>
      </c>
      <c r="C83">
        <v>1.506131787092941</v>
      </c>
      <c r="D83">
        <v>0.5484672866406098</v>
      </c>
      <c r="E83">
        <v>0.5129011485990685</v>
      </c>
      <c r="F83">
        <v>0.7057070548242659</v>
      </c>
      <c r="G83">
        <v>0.6982194468155204</v>
      </c>
      <c r="H83">
        <v>1.0108270811806461</v>
      </c>
      <c r="I83">
        <v>1.0576246312353057</v>
      </c>
      <c r="J83">
        <v>1.1605792413555565</v>
      </c>
      <c r="K83">
        <v>1.2335834194408255</v>
      </c>
      <c r="L83">
        <v>0.9136895352513437</v>
      </c>
      <c r="M83">
        <v>0.8586784698071451</v>
      </c>
      <c r="N83" s="51"/>
      <c r="O83" s="49">
        <v>44</v>
      </c>
      <c r="P83" s="50">
        <v>1.7648272705166554</v>
      </c>
      <c r="Q83" s="50">
        <v>1.7879301790945303</v>
      </c>
      <c r="R83" s="50">
        <v>0.6304355487334511</v>
      </c>
      <c r="S83" s="50">
        <v>0.5932359356094276</v>
      </c>
      <c r="T83" s="50">
        <v>0.8125178656036715</v>
      </c>
      <c r="U83" s="50">
        <v>0.8066442424788257</v>
      </c>
      <c r="V83" s="50">
        <v>1.1649352530944204</v>
      </c>
      <c r="W83" s="50">
        <v>1.2236714843428786</v>
      </c>
      <c r="X83" s="50">
        <v>1.3372281980898977</v>
      </c>
      <c r="Y83" s="50">
        <v>1.4272904193375335</v>
      </c>
      <c r="Z83" s="50">
        <v>1.078069365686404</v>
      </c>
      <c r="AA83" s="50">
        <v>1.0174073585652117</v>
      </c>
      <c r="AB83" s="51"/>
      <c r="AC83" s="49">
        <v>44</v>
      </c>
      <c r="AD83" s="50">
        <v>2.277790155889812</v>
      </c>
      <c r="AE83" s="50">
        <v>2.212005602651118</v>
      </c>
      <c r="AF83" s="50">
        <v>0.6872139056069606</v>
      </c>
      <c r="AG83" s="50">
        <v>0.6441406693580912</v>
      </c>
      <c r="AH83" s="50">
        <v>0.8967064637264615</v>
      </c>
      <c r="AI83" s="50">
        <v>0.8908328406016156</v>
      </c>
      <c r="AJ83" s="50">
        <v>1.3235230774652575</v>
      </c>
      <c r="AK83" s="50">
        <v>1.39009080621351</v>
      </c>
      <c r="AL83" s="50">
        <v>1.5428050074595012</v>
      </c>
      <c r="AM83" s="50">
        <v>1.644614474956829</v>
      </c>
      <c r="AN83" s="50">
        <v>1.2369774495582224</v>
      </c>
      <c r="AO83" s="50">
        <v>1.1301595674535145</v>
      </c>
      <c r="AP83" s="51"/>
      <c r="AQ83" s="49">
        <v>44</v>
      </c>
      <c r="AR83" s="50">
        <v>3.005727563453705</v>
      </c>
      <c r="AS83" s="50">
        <v>2.7805720984998383</v>
      </c>
      <c r="AT83" s="50">
        <v>0.7479080112303673</v>
      </c>
      <c r="AU83" s="50">
        <v>0.7028769006065495</v>
      </c>
      <c r="AV83" s="50">
        <v>0.9926423080989433</v>
      </c>
      <c r="AW83" s="50">
        <v>0.9848108105991488</v>
      </c>
      <c r="AX83" s="50">
        <v>1.5114790174603236</v>
      </c>
      <c r="AY83" s="50">
        <v>1.5858782437083707</v>
      </c>
      <c r="AZ83" s="50">
        <v>1.7875393043280774</v>
      </c>
      <c r="BA83" s="50">
        <v>1.9069696411999422</v>
      </c>
      <c r="BB83" s="50">
        <v>1.4275352762758802</v>
      </c>
      <c r="BC83" s="50">
        <v>1.2587366477647368</v>
      </c>
      <c r="BD83" s="35"/>
      <c r="BE83" s="49">
        <v>44</v>
      </c>
      <c r="BF83" s="52">
        <f t="shared" si="5"/>
        <v>1.3295140260766496</v>
      </c>
      <c r="BG83" s="55">
        <v>15166</v>
      </c>
      <c r="BH83" s="56">
        <v>20.16340971947847</v>
      </c>
      <c r="BI83" s="56">
        <f t="shared" si="6"/>
        <v>20.869129059660214</v>
      </c>
    </row>
    <row r="84" spans="1:61" ht="15">
      <c r="A84" s="49">
        <v>45</v>
      </c>
      <c r="B84">
        <v>1.6227919052608302</v>
      </c>
      <c r="C84">
        <v>1.6153694097865994</v>
      </c>
      <c r="D84">
        <v>0.5469209328127167</v>
      </c>
      <c r="E84">
        <v>0.5137150190348018</v>
      </c>
      <c r="F84">
        <v>0.7051373455192527</v>
      </c>
      <c r="G84">
        <v>0.6973241893362139</v>
      </c>
      <c r="H84">
        <v>1.0098504366577663</v>
      </c>
      <c r="I84">
        <v>1.0586826628017587</v>
      </c>
      <c r="J84">
        <v>1.1602536931812635</v>
      </c>
      <c r="K84">
        <v>1.2344786769201321</v>
      </c>
      <c r="L84">
        <v>0.9800822004426177</v>
      </c>
      <c r="M84">
        <v>0.8940878912424913</v>
      </c>
      <c r="N84" s="51"/>
      <c r="O84" s="49">
        <v>45</v>
      </c>
      <c r="P84" s="50">
        <v>1.9261390636447173</v>
      </c>
      <c r="Q84" s="50">
        <v>1.8999886817878526</v>
      </c>
      <c r="R84" s="50">
        <v>0.6312860461267843</v>
      </c>
      <c r="S84" s="50">
        <v>0.5924691047791826</v>
      </c>
      <c r="T84" s="50">
        <v>0.8131127713866023</v>
      </c>
      <c r="U84" s="50">
        <v>0.8069837806475074</v>
      </c>
      <c r="V84" s="50">
        <v>1.1645082404280487</v>
      </c>
      <c r="W84" s="50">
        <v>1.223755150905967</v>
      </c>
      <c r="X84" s="50">
        <v>1.33816297803574</v>
      </c>
      <c r="Y84" s="50">
        <v>1.426011845296102</v>
      </c>
      <c r="Z84" s="50">
        <v>1.1611499406567323</v>
      </c>
      <c r="AA84" s="50">
        <v>1.060925754978241</v>
      </c>
      <c r="AB84" s="51"/>
      <c r="AC84" s="49">
        <v>45</v>
      </c>
      <c r="AD84" s="50">
        <v>2.4732540840563164</v>
      </c>
      <c r="AE84" s="50">
        <v>2.338416177606856</v>
      </c>
      <c r="AF84" s="50">
        <v>0.6864469627786391</v>
      </c>
      <c r="AG84" s="50">
        <v>0.6435440276049742</v>
      </c>
      <c r="AH84" s="50">
        <v>0.8968756448209005</v>
      </c>
      <c r="AI84" s="50">
        <v>0.8907466540818056</v>
      </c>
      <c r="AJ84" s="50">
        <v>1.3238619996445187</v>
      </c>
      <c r="AK84" s="50">
        <v>1.3892379008615316</v>
      </c>
      <c r="AL84" s="50">
        <v>1.5424626693389065</v>
      </c>
      <c r="AM84" s="50">
        <v>1.6446125149904898</v>
      </c>
      <c r="AN84" s="50">
        <v>1.3266517209547672</v>
      </c>
      <c r="AO84" s="50">
        <v>1.173018594223922</v>
      </c>
      <c r="AP84" s="51"/>
      <c r="AQ84" s="49">
        <v>45</v>
      </c>
      <c r="AR84" s="50">
        <v>3.2434645496842953</v>
      </c>
      <c r="AS84" s="50">
        <v>2.9223051725046707</v>
      </c>
      <c r="AT84" s="50">
        <v>0.7477368701695891</v>
      </c>
      <c r="AU84" s="50">
        <v>0.7027909380828925</v>
      </c>
      <c r="AV84" s="50">
        <v>0.9928964997333889</v>
      </c>
      <c r="AW84" s="50">
        <v>0.9847245120812621</v>
      </c>
      <c r="AX84" s="50">
        <v>1.5118177156434316</v>
      </c>
      <c r="AY84" s="50">
        <v>1.587408601425603</v>
      </c>
      <c r="AZ84" s="50">
        <v>1.7876222989027062</v>
      </c>
      <c r="BA84" s="50">
        <v>1.9081591167715743</v>
      </c>
      <c r="BB84" s="50">
        <v>1.5224845048133984</v>
      </c>
      <c r="BC84" s="50">
        <v>1.300276935249901</v>
      </c>
      <c r="BD84" s="35"/>
      <c r="BE84" s="49">
        <v>45</v>
      </c>
      <c r="BF84" s="52">
        <f t="shared" si="5"/>
        <v>1.4612142763071252</v>
      </c>
      <c r="BG84" s="55">
        <v>15166</v>
      </c>
      <c r="BH84" s="56">
        <v>22.16077571447386</v>
      </c>
      <c r="BI84" s="56">
        <f t="shared" si="6"/>
        <v>22.936402864480446</v>
      </c>
    </row>
    <row r="85" spans="1:61" ht="15">
      <c r="A85" s="49">
        <v>46</v>
      </c>
      <c r="B85">
        <v>1.8121365363401376</v>
      </c>
      <c r="C85">
        <v>1.8395003289781338</v>
      </c>
      <c r="D85">
        <v>0.5472760762755822</v>
      </c>
      <c r="E85">
        <v>0.5125608027804892</v>
      </c>
      <c r="F85">
        <v>0.7045158444592383</v>
      </c>
      <c r="G85">
        <v>0.69838961972481</v>
      </c>
      <c r="H85">
        <v>1.0108270811806461</v>
      </c>
      <c r="I85">
        <v>1.0577948041445953</v>
      </c>
      <c r="J85">
        <v>1.1598985497183978</v>
      </c>
      <c r="K85">
        <v>1.233413246531536</v>
      </c>
      <c r="L85">
        <v>1.0705026873221624</v>
      </c>
      <c r="M85">
        <v>0.9971546000632312</v>
      </c>
      <c r="N85" s="51"/>
      <c r="O85" s="49">
        <v>46</v>
      </c>
      <c r="P85" s="50">
        <v>2.1294546075887184</v>
      </c>
      <c r="Q85" s="50">
        <v>2.1956663356080264</v>
      </c>
      <c r="R85" s="50">
        <v>0.6322152094746847</v>
      </c>
      <c r="S85" s="50">
        <v>0.5916338277854313</v>
      </c>
      <c r="T85" s="50">
        <v>0.8137634959792395</v>
      </c>
      <c r="U85" s="50">
        <v>0.8073559093967257</v>
      </c>
      <c r="V85" s="50">
        <v>1.1661807580174928</v>
      </c>
      <c r="W85" s="50">
        <v>1.223849037260116</v>
      </c>
      <c r="X85" s="50">
        <v>1.3370497335511913</v>
      </c>
      <c r="Y85" s="50">
        <v>1.426755945706383</v>
      </c>
      <c r="Z85" s="50">
        <v>1.2560991691942502</v>
      </c>
      <c r="AA85" s="50">
        <v>1.1881840960042198</v>
      </c>
      <c r="AB85" s="51"/>
      <c r="AC85" s="49">
        <v>46</v>
      </c>
      <c r="AD85" s="50">
        <v>2.7193797456188125</v>
      </c>
      <c r="AE85" s="50">
        <v>2.6886233300227467</v>
      </c>
      <c r="AF85" s="50">
        <v>0.6856117643289655</v>
      </c>
      <c r="AG85" s="50">
        <v>0.6450303826397121</v>
      </c>
      <c r="AH85" s="50">
        <v>0.8970621215519176</v>
      </c>
      <c r="AI85" s="50">
        <v>0.8906545349694038</v>
      </c>
      <c r="AJ85" s="50">
        <v>1.324234560386164</v>
      </c>
      <c r="AK85" s="50">
        <v>1.390446288405472</v>
      </c>
      <c r="AL85" s="50">
        <v>1.5420925041916296</v>
      </c>
      <c r="AM85" s="50">
        <v>1.6446138895118487</v>
      </c>
      <c r="AN85" s="50">
        <v>1.4255571673480152</v>
      </c>
      <c r="AO85" s="50">
        <v>1.3055518923908744</v>
      </c>
      <c r="AP85" s="51"/>
      <c r="AQ85" s="49">
        <v>46</v>
      </c>
      <c r="AR85" s="50">
        <v>3.5451040698854106</v>
      </c>
      <c r="AS85" s="50">
        <v>3.340488471683807</v>
      </c>
      <c r="AT85" s="50">
        <v>0.7475517679599313</v>
      </c>
      <c r="AU85" s="50">
        <v>0.7026986618823353</v>
      </c>
      <c r="AV85" s="50">
        <v>0.993175920289623</v>
      </c>
      <c r="AW85" s="50">
        <v>0.9846324715129381</v>
      </c>
      <c r="AX85" s="50">
        <v>1.5100545712790612</v>
      </c>
      <c r="AY85" s="50">
        <v>1.5869456102692254</v>
      </c>
      <c r="AZ85" s="50">
        <v>1.7877166565213212</v>
      </c>
      <c r="BA85" s="50">
        <v>1.9073249393949103</v>
      </c>
      <c r="BB85" s="50">
        <v>1.6260055387049979</v>
      </c>
      <c r="BC85" s="50">
        <v>1.4387445602004483</v>
      </c>
      <c r="BD85" s="35"/>
      <c r="BE85" s="49">
        <v>46</v>
      </c>
      <c r="BF85" s="52">
        <f t="shared" si="5"/>
        <v>1.639009614118267</v>
      </c>
      <c r="BG85" s="55">
        <v>15166</v>
      </c>
      <c r="BH85" s="56">
        <v>24.857219807717637</v>
      </c>
      <c r="BI85" s="56">
        <f t="shared" si="6"/>
        <v>25.727222500987754</v>
      </c>
    </row>
    <row r="86" spans="1:61" ht="15">
      <c r="A86" s="190">
        <v>47</v>
      </c>
      <c r="B86" s="2">
        <v>2.038767822638752</v>
      </c>
      <c r="C86">
        <v>2.007105950891581</v>
      </c>
      <c r="D86">
        <v>0.547665042925387</v>
      </c>
      <c r="E86">
        <v>0.5134359777425503</v>
      </c>
      <c r="F86">
        <v>0.7059744693960067</v>
      </c>
      <c r="G86">
        <v>0.6974172031002975</v>
      </c>
      <c r="H86">
        <v>1.0097574228936823</v>
      </c>
      <c r="I86">
        <v>1.05896170409401</v>
      </c>
      <c r="J86">
        <v>1.1595095830685926</v>
      </c>
      <c r="K86">
        <v>1.2343856631560481</v>
      </c>
      <c r="L86">
        <v>1.1862156180840975</v>
      </c>
      <c r="M86">
        <v>1.0515333544103698</v>
      </c>
      <c r="N86" s="51"/>
      <c r="O86" s="49">
        <v>47</v>
      </c>
      <c r="P86" s="50">
        <v>2.4335810919967944</v>
      </c>
      <c r="Q86" s="50">
        <v>2.4009125705337993</v>
      </c>
      <c r="R86" s="50">
        <v>0.6309952943861556</v>
      </c>
      <c r="S86" s="50">
        <v>0.5929565709657136</v>
      </c>
      <c r="T86" s="50">
        <v>0.8122386236247323</v>
      </c>
      <c r="U86" s="50">
        <v>0.8077634796929156</v>
      </c>
      <c r="V86" s="50">
        <v>1.165774994238252</v>
      </c>
      <c r="W86" s="50">
        <v>1.2239518653518693</v>
      </c>
      <c r="X86" s="50">
        <v>1.3380680356131955</v>
      </c>
      <c r="Y86" s="50">
        <v>1.4275709142495296</v>
      </c>
      <c r="Z86" s="50">
        <v>1.4024792298562574</v>
      </c>
      <c r="AA86" s="50">
        <v>1.2706053013319265</v>
      </c>
      <c r="AB86" s="51"/>
      <c r="AC86" s="49">
        <v>47</v>
      </c>
      <c r="AD86" s="50">
        <v>3.091874175175773</v>
      </c>
      <c r="AE86" s="50">
        <v>2.9249514559196483</v>
      </c>
      <c r="AF86" s="50">
        <v>0.6869345935338644</v>
      </c>
      <c r="AG86" s="50">
        <v>0.6444207261816057</v>
      </c>
      <c r="AH86" s="50">
        <v>0.8972663583292497</v>
      </c>
      <c r="AI86" s="50">
        <v>0.8905536424315246</v>
      </c>
      <c r="AJ86" s="50">
        <v>1.3246426038177452</v>
      </c>
      <c r="AK86" s="50">
        <v>1.3895321908290876</v>
      </c>
      <c r="AL86" s="50">
        <v>1.5416870845108555</v>
      </c>
      <c r="AM86" s="50">
        <v>1.6446153949426396</v>
      </c>
      <c r="AN86" s="50">
        <v>1.5824871422919689</v>
      </c>
      <c r="AO86" s="50">
        <v>1.3892918370038243</v>
      </c>
      <c r="AP86" s="51"/>
      <c r="AQ86" s="49">
        <v>47</v>
      </c>
      <c r="AR86" s="50">
        <v>4.006145262146985</v>
      </c>
      <c r="AS86" s="50">
        <v>3.6136754905984025</v>
      </c>
      <c r="AT86" s="50">
        <v>0.74734903661339</v>
      </c>
      <c r="AU86" s="50">
        <v>0.7025975972952231</v>
      </c>
      <c r="AV86" s="50">
        <v>0.9912443808974005</v>
      </c>
      <c r="AW86" s="50">
        <v>0.9845316649996756</v>
      </c>
      <c r="AX86" s="50">
        <v>1.5103610769881386</v>
      </c>
      <c r="AY86" s="50">
        <v>1.5864385238290226</v>
      </c>
      <c r="AZ86" s="50">
        <v>1.7878200007607745</v>
      </c>
      <c r="BA86" s="50">
        <v>1.906411314953917</v>
      </c>
      <c r="BB86" s="50">
        <v>1.7928260582882765</v>
      </c>
      <c r="BC86" s="50">
        <v>1.5231438744560202</v>
      </c>
      <c r="BD86" s="35"/>
      <c r="BE86" s="49">
        <v>47</v>
      </c>
      <c r="BF86" s="52">
        <f t="shared" si="5"/>
        <v>1.7700513630975898</v>
      </c>
      <c r="BG86" s="55">
        <v>15166</v>
      </c>
      <c r="BH86" s="56">
        <v>26.844598972738048</v>
      </c>
      <c r="BI86" s="56">
        <f t="shared" si="6"/>
        <v>27.784159936783876</v>
      </c>
    </row>
    <row r="87" spans="1:61" ht="15">
      <c r="A87" s="190">
        <v>48</v>
      </c>
      <c r="B87" s="2">
        <v>2.2467306497458783</v>
      </c>
      <c r="C87">
        <v>2.152386831220256</v>
      </c>
      <c r="D87">
        <v>0.5480929062401725</v>
      </c>
      <c r="E87">
        <v>0.5121523877981939</v>
      </c>
      <c r="F87">
        <v>0.7053326744238285</v>
      </c>
      <c r="G87">
        <v>0.6985938272159575</v>
      </c>
      <c r="H87">
        <v>1.010827081180646</v>
      </c>
      <c r="I87">
        <v>1.0579990116357427</v>
      </c>
      <c r="J87">
        <v>1.1590817197538075</v>
      </c>
      <c r="K87">
        <v>1.2332090390403883</v>
      </c>
      <c r="L87">
        <v>1.274739171672463</v>
      </c>
      <c r="M87">
        <v>1.0856781536515967</v>
      </c>
      <c r="N87" s="51"/>
      <c r="O87" s="49">
        <v>48</v>
      </c>
      <c r="P87" s="50">
        <v>2.6807207544173157</v>
      </c>
      <c r="Q87" s="50">
        <v>2.5402237332830864</v>
      </c>
      <c r="R87" s="50">
        <v>0.6320013532817081</v>
      </c>
      <c r="S87" s="50">
        <v>0.5920607473122322</v>
      </c>
      <c r="T87" s="50">
        <v>0.8129088038493346</v>
      </c>
      <c r="U87" s="50">
        <v>0.8058604616194271</v>
      </c>
      <c r="V87" s="50">
        <v>1.165325915344711</v>
      </c>
      <c r="W87" s="50">
        <v>1.2240621005939405</v>
      </c>
      <c r="X87" s="50">
        <v>1.3368355762724609</v>
      </c>
      <c r="Y87" s="50">
        <v>1.4261145778512896</v>
      </c>
      <c r="Z87" s="50">
        <v>1.5198470262429118</v>
      </c>
      <c r="AA87" s="50">
        <v>1.295001978108928</v>
      </c>
      <c r="AB87" s="51"/>
      <c r="AC87" s="49">
        <v>48</v>
      </c>
      <c r="AD87" s="50">
        <v>3.387904757116362</v>
      </c>
      <c r="AE87" s="50">
        <v>3.0787173326804997</v>
      </c>
      <c r="AF87" s="50">
        <v>0.6860386437109992</v>
      </c>
      <c r="AG87" s="50">
        <v>0.6437485903315541</v>
      </c>
      <c r="AH87" s="50">
        <v>0.897488910608225</v>
      </c>
      <c r="AI87" s="50">
        <v>0.8904405683783174</v>
      </c>
      <c r="AJ87" s="50">
        <v>1.325088339222615</v>
      </c>
      <c r="AK87" s="50">
        <v>1.3908728667017518</v>
      </c>
      <c r="AL87" s="50">
        <v>1.541237500939779</v>
      </c>
      <c r="AM87" s="50">
        <v>1.6446131869784228</v>
      </c>
      <c r="AN87" s="50">
        <v>1.7071080047474614</v>
      </c>
      <c r="AO87" s="50">
        <v>1.4084135566398523</v>
      </c>
      <c r="AP87" s="51"/>
      <c r="AQ87" s="49">
        <v>48</v>
      </c>
      <c r="AR87" s="50">
        <v>4.363865669811325</v>
      </c>
      <c r="AS87" s="50">
        <v>3.781672328054436</v>
      </c>
      <c r="AT87" s="50">
        <v>0.7471242763701978</v>
      </c>
      <c r="AU87" s="50">
        <v>0.7024847755807835</v>
      </c>
      <c r="AV87" s="50">
        <v>0.991466807006992</v>
      </c>
      <c r="AW87" s="50">
        <v>0.9844184647770846</v>
      </c>
      <c r="AX87" s="50">
        <v>1.5106946846101796</v>
      </c>
      <c r="AY87" s="50">
        <v>1.5858770017291934</v>
      </c>
      <c r="AZ87" s="50">
        <v>1.7879294789865428</v>
      </c>
      <c r="BA87" s="50">
        <v>1.9077512968949704</v>
      </c>
      <c r="BB87" s="50">
        <v>1.9246999868126073</v>
      </c>
      <c r="BC87" s="50">
        <v>1.5336937887379667</v>
      </c>
      <c r="BD87" s="35"/>
      <c r="BE87" s="49">
        <v>48</v>
      </c>
      <c r="BF87" s="52">
        <f t="shared" si="5"/>
        <v>1.9247991571183984</v>
      </c>
      <c r="BG87" s="55">
        <v>15166</v>
      </c>
      <c r="BH87" s="56">
        <v>29.191504016857632</v>
      </c>
      <c r="BI87" s="56">
        <f t="shared" si="6"/>
        <v>30.213206657447646</v>
      </c>
    </row>
    <row r="88" spans="1:61" ht="15">
      <c r="A88" s="49">
        <v>49</v>
      </c>
      <c r="B88">
        <v>2.512524791852478</v>
      </c>
      <c r="C88">
        <v>2.2897882631563515</v>
      </c>
      <c r="D88">
        <v>0.5485658077986195</v>
      </c>
      <c r="E88">
        <v>0.5130981909150881</v>
      </c>
      <c r="F88">
        <v>0.7046233220861579</v>
      </c>
      <c r="G88">
        <v>0.6975297987094516</v>
      </c>
      <c r="H88">
        <v>1.0096448272845282</v>
      </c>
      <c r="I88">
        <v>1.0592994909214724</v>
      </c>
      <c r="J88">
        <v>1.1609733259875958</v>
      </c>
      <c r="K88">
        <v>1.234273067546894</v>
      </c>
      <c r="L88">
        <v>1.4012013910844134</v>
      </c>
      <c r="M88">
        <v>1.1223521972810622</v>
      </c>
      <c r="N88" s="51"/>
      <c r="O88" s="49">
        <v>49</v>
      </c>
      <c r="P88" s="50">
        <v>2.953875131012672</v>
      </c>
      <c r="Q88" s="50">
        <v>2.7154679285431294</v>
      </c>
      <c r="R88" s="50">
        <v>0.630641770743168</v>
      </c>
      <c r="S88" s="50">
        <v>0.5935451959935699</v>
      </c>
      <c r="T88" s="50">
        <v>0.8136515395078521</v>
      </c>
      <c r="U88" s="50">
        <v>0.8062322245579324</v>
      </c>
      <c r="V88" s="50">
        <v>1.164832447137381</v>
      </c>
      <c r="W88" s="50">
        <v>1.2241869667367382</v>
      </c>
      <c r="X88" s="50">
        <v>1.337949795968839</v>
      </c>
      <c r="Y88" s="50">
        <v>1.4269815753678743</v>
      </c>
      <c r="Z88" s="50">
        <v>1.6312804958459712</v>
      </c>
      <c r="AA88" s="50">
        <v>1.329289199525254</v>
      </c>
      <c r="AB88" s="51"/>
      <c r="AC88" s="49">
        <v>49</v>
      </c>
      <c r="AD88" s="50">
        <v>3.714601847606357</v>
      </c>
      <c r="AE88" s="50">
        <v>3.2748839990681344</v>
      </c>
      <c r="AF88" s="50">
        <v>0.6875231853592184</v>
      </c>
      <c r="AG88" s="50">
        <v>0.6454804006430073</v>
      </c>
      <c r="AH88" s="50">
        <v>0.8977371089402745</v>
      </c>
      <c r="AI88" s="50">
        <v>0.8903177939903548</v>
      </c>
      <c r="AJ88" s="50">
        <v>1.3231111660689996</v>
      </c>
      <c r="AK88" s="50">
        <v>1.3898850006182764</v>
      </c>
      <c r="AL88" s="50">
        <v>1.5432175095832819</v>
      </c>
      <c r="AM88" s="50">
        <v>1.6446148138988501</v>
      </c>
      <c r="AN88" s="50">
        <v>1.8211789529210076</v>
      </c>
      <c r="AO88" s="50">
        <v>1.4361070816299617</v>
      </c>
      <c r="AP88" s="51"/>
      <c r="AQ88" s="49">
        <v>49</v>
      </c>
      <c r="AR88" s="50">
        <v>4.756273151342574</v>
      </c>
      <c r="AS88" s="50">
        <v>3.999503400764981</v>
      </c>
      <c r="AT88" s="50">
        <v>0.7468777049585755</v>
      </c>
      <c r="AU88" s="50">
        <v>0.7023618152590577</v>
      </c>
      <c r="AV88" s="50">
        <v>0.9917150983059231</v>
      </c>
      <c r="AW88" s="50">
        <v>0.9842957833560034</v>
      </c>
      <c r="AX88" s="50">
        <v>1.5110671448002968</v>
      </c>
      <c r="AY88" s="50">
        <v>1.585260294299493</v>
      </c>
      <c r="AZ88" s="50">
        <v>1.7880549029306294</v>
      </c>
      <c r="BA88" s="50">
        <v>1.9067639421293434</v>
      </c>
      <c r="BB88" s="50">
        <v>2.039430304628775</v>
      </c>
      <c r="BC88" s="50">
        <v>1.5541342476592377</v>
      </c>
      <c r="BD88" s="35"/>
      <c r="BE88" s="49">
        <v>49</v>
      </c>
      <c r="BF88" s="52">
        <f t="shared" si="5"/>
        <v>2.0762544448834452</v>
      </c>
      <c r="BG88" s="55">
        <v>15166</v>
      </c>
      <c r="BH88" s="56">
        <v>31.48847491110233</v>
      </c>
      <c r="BI88" s="56">
        <f t="shared" si="6"/>
        <v>32.59057153299091</v>
      </c>
    </row>
    <row r="89" spans="1:61" ht="15">
      <c r="A89" s="49">
        <v>50</v>
      </c>
      <c r="B89">
        <v>2.7774020109708375</v>
      </c>
      <c r="C89">
        <v>2.470410235854543</v>
      </c>
      <c r="D89">
        <v>0.5465953846384234</v>
      </c>
      <c r="E89">
        <v>0.5116532139309443</v>
      </c>
      <c r="F89">
        <v>0.7063310221583281</v>
      </c>
      <c r="G89">
        <v>0.6988434141495825</v>
      </c>
      <c r="H89">
        <v>1.010827081180646</v>
      </c>
      <c r="I89">
        <v>1.0582485985693677</v>
      </c>
      <c r="J89">
        <v>1.1605792413555567</v>
      </c>
      <c r="K89">
        <v>1.2329594521067635</v>
      </c>
      <c r="L89">
        <v>1.5200758773316472</v>
      </c>
      <c r="M89">
        <v>1.1564969965222889</v>
      </c>
      <c r="N89" s="51"/>
      <c r="O89" s="49">
        <v>50</v>
      </c>
      <c r="P89" s="50">
        <v>3.259468408530483</v>
      </c>
      <c r="Q89" s="50">
        <v>2.915404708190648</v>
      </c>
      <c r="R89" s="50">
        <v>0.6317399737384127</v>
      </c>
      <c r="S89" s="50">
        <v>0.592582537349668</v>
      </c>
      <c r="T89" s="50">
        <v>0.8118641811266377</v>
      </c>
      <c r="U89" s="50">
        <v>0.8066431896081384</v>
      </c>
      <c r="V89" s="50">
        <v>1.164281108625339</v>
      </c>
      <c r="W89" s="50">
        <v>1.2243225110880809</v>
      </c>
      <c r="X89" s="50">
        <v>1.336573828735815</v>
      </c>
      <c r="Y89" s="50">
        <v>1.4279411803095525</v>
      </c>
      <c r="Z89" s="50">
        <v>1.7657919029407887</v>
      </c>
      <c r="AA89" s="50">
        <v>1.3833575102202296</v>
      </c>
      <c r="AB89" s="51"/>
      <c r="AC89" s="49">
        <v>50</v>
      </c>
      <c r="AD89" s="50">
        <v>4.0775986337695125</v>
      </c>
      <c r="AE89" s="50">
        <v>3.498590069768183</v>
      </c>
      <c r="AF89" s="50">
        <v>0.686560384682655</v>
      </c>
      <c r="AG89" s="50">
        <v>0.6447924525346609</v>
      </c>
      <c r="AH89" s="50">
        <v>0.8980105411818758</v>
      </c>
      <c r="AI89" s="50">
        <v>0.890179053904127</v>
      </c>
      <c r="AJ89" s="50">
        <v>1.323521349939567</v>
      </c>
      <c r="AK89" s="50">
        <v>1.3913942396800576</v>
      </c>
      <c r="AL89" s="50">
        <v>1.5428029937165368</v>
      </c>
      <c r="AM89" s="50">
        <v>1.6446123283272727</v>
      </c>
      <c r="AN89" s="50">
        <v>1.9622840564420414</v>
      </c>
      <c r="AO89" s="50">
        <v>1.4875379137544507</v>
      </c>
      <c r="AP89" s="51"/>
      <c r="AQ89" s="49">
        <v>50</v>
      </c>
      <c r="AR89" s="50">
        <v>5.19019308813095</v>
      </c>
      <c r="AS89" s="50">
        <v>4.248325234696867</v>
      </c>
      <c r="AT89" s="50">
        <v>0.7492122829046464</v>
      </c>
      <c r="AU89" s="50">
        <v>0.7022233592381528</v>
      </c>
      <c r="AV89" s="50">
        <v>0.9919883885148627</v>
      </c>
      <c r="AW89" s="50">
        <v>0.984156901237114</v>
      </c>
      <c r="AX89" s="50">
        <v>1.511477044605541</v>
      </c>
      <c r="AY89" s="50">
        <v>1.5871814216237805</v>
      </c>
      <c r="AZ89" s="50">
        <v>1.7881895950860027</v>
      </c>
      <c r="BA89" s="50">
        <v>1.9082724000114861</v>
      </c>
      <c r="BB89" s="50">
        <v>2.1864697349334037</v>
      </c>
      <c r="BC89" s="50">
        <v>1.6022682315706185</v>
      </c>
      <c r="BD89" s="35"/>
      <c r="BE89" s="49">
        <v>50</v>
      </c>
      <c r="BF89" s="52">
        <f t="shared" si="5"/>
        <v>2.281048333991835</v>
      </c>
      <c r="BG89" s="55">
        <v>15166</v>
      </c>
      <c r="BH89" s="56">
        <v>34.594379033320166</v>
      </c>
      <c r="BI89" s="56">
        <f t="shared" si="6"/>
        <v>35.80518229948637</v>
      </c>
    </row>
    <row r="90" spans="1:61" ht="15">
      <c r="A90" s="49">
        <v>51</v>
      </c>
      <c r="B90">
        <v>3.0993395404690025</v>
      </c>
      <c r="C90">
        <v>2.7256640535809424</v>
      </c>
      <c r="D90">
        <v>0.5470358321683495</v>
      </c>
      <c r="E90">
        <v>0.5126809248341054</v>
      </c>
      <c r="F90">
        <v>0.7055969429417842</v>
      </c>
      <c r="G90">
        <v>0.6976688874031125</v>
      </c>
      <c r="H90">
        <v>1.0095057385908672</v>
      </c>
      <c r="I90">
        <v>1.0570740718228977</v>
      </c>
      <c r="J90">
        <v>1.1601387938256302</v>
      </c>
      <c r="K90">
        <v>1.234133978853233</v>
      </c>
      <c r="L90">
        <v>1.6446411634524187</v>
      </c>
      <c r="M90">
        <v>1.2311097059753398</v>
      </c>
      <c r="N90" s="51"/>
      <c r="O90" s="49">
        <v>51</v>
      </c>
      <c r="P90" s="50">
        <v>3.6347353553333868</v>
      </c>
      <c r="Q90" s="50">
        <v>3.2140458335982225</v>
      </c>
      <c r="R90" s="50">
        <v>0.6302050654114161</v>
      </c>
      <c r="S90" s="50">
        <v>0.5915082631493116</v>
      </c>
      <c r="T90" s="50">
        <v>0.8126328475041945</v>
      </c>
      <c r="U90" s="50">
        <v>0.8071047328953224</v>
      </c>
      <c r="V90" s="50">
        <v>1.166432182472007</v>
      </c>
      <c r="W90" s="50">
        <v>1.2244773858651636</v>
      </c>
      <c r="X90" s="50">
        <v>1.3378037353470411</v>
      </c>
      <c r="Y90" s="50">
        <v>1.4262535690889944</v>
      </c>
      <c r="Z90" s="50">
        <v>1.9299749439535803</v>
      </c>
      <c r="AA90" s="50">
        <v>1.4499538441250164</v>
      </c>
      <c r="AB90" s="51"/>
      <c r="AC90" s="49">
        <v>51</v>
      </c>
      <c r="AD90" s="50">
        <v>4.523656184440016</v>
      </c>
      <c r="AE90" s="50">
        <v>3.8370643500181045</v>
      </c>
      <c r="AF90" s="50">
        <v>0.6854862115001369</v>
      </c>
      <c r="AG90" s="50">
        <v>0.6440253519335963</v>
      </c>
      <c r="AH90" s="50">
        <v>0.8955545666372756</v>
      </c>
      <c r="AI90" s="50">
        <v>0.8900264520284036</v>
      </c>
      <c r="AJ90" s="50">
        <v>1.3239834488248612</v>
      </c>
      <c r="AK90" s="50">
        <v>1.3903208241313258</v>
      </c>
      <c r="AL90" s="50">
        <v>1.542343975875308</v>
      </c>
      <c r="AM90" s="50">
        <v>1.6446140961394413</v>
      </c>
      <c r="AN90" s="50">
        <v>2.1337201635236713</v>
      </c>
      <c r="AO90" s="50">
        <v>1.550178029803508</v>
      </c>
      <c r="AP90" s="51"/>
      <c r="AQ90" s="49">
        <v>51</v>
      </c>
      <c r="AR90" s="50">
        <v>5.723809866026143</v>
      </c>
      <c r="AS90" s="50">
        <v>4.634218476617457</v>
      </c>
      <c r="AT90" s="50">
        <v>0.7490595295021657</v>
      </c>
      <c r="AU90" s="50">
        <v>0.7020705553267531</v>
      </c>
      <c r="AV90" s="50">
        <v>0.9922965722925369</v>
      </c>
      <c r="AW90" s="50">
        <v>0.9840044003792288</v>
      </c>
      <c r="AX90" s="50">
        <v>1.5119393455265113</v>
      </c>
      <c r="AY90" s="50">
        <v>1.5865688927462844</v>
      </c>
      <c r="AZ90" s="50">
        <v>1.788345075970115</v>
      </c>
      <c r="BA90" s="50">
        <v>1.9071995400608648</v>
      </c>
      <c r="BB90" s="50">
        <v>2.365818277726494</v>
      </c>
      <c r="BC90" s="50">
        <v>1.6596333904787026</v>
      </c>
      <c r="BD90" s="35"/>
      <c r="BE90" s="49">
        <v>51</v>
      </c>
      <c r="BF90" s="52">
        <f t="shared" si="5"/>
        <v>2.472013696826024</v>
      </c>
      <c r="BG90" s="55">
        <v>15166</v>
      </c>
      <c r="BH90" s="56">
        <v>37.49055972606348</v>
      </c>
      <c r="BI90" s="56">
        <f t="shared" si="6"/>
        <v>38.8027293164757</v>
      </c>
    </row>
    <row r="91" spans="1:61" ht="15">
      <c r="A91" s="49">
        <v>52</v>
      </c>
      <c r="B91">
        <v>3.4295097322938295</v>
      </c>
      <c r="C91">
        <v>2.941505154372864</v>
      </c>
      <c r="D91">
        <v>0.5475313356395166</v>
      </c>
      <c r="E91">
        <v>0.5138370996001618</v>
      </c>
      <c r="F91">
        <v>0.7047711038231725</v>
      </c>
      <c r="G91">
        <v>0.6991553978166135</v>
      </c>
      <c r="H91">
        <v>1.0108270811806461</v>
      </c>
      <c r="I91">
        <v>1.0585605822363986</v>
      </c>
      <c r="J91">
        <v>1.1596432903544633</v>
      </c>
      <c r="K91">
        <v>1.235455321443012</v>
      </c>
      <c r="L91">
        <v>1.7799557382232059</v>
      </c>
      <c r="M91">
        <v>1.276636104963642</v>
      </c>
      <c r="N91" s="51"/>
      <c r="O91" s="49">
        <v>52</v>
      </c>
      <c r="P91" s="50">
        <v>4.008746997844968</v>
      </c>
      <c r="Q91" s="50">
        <v>3.4542770834177667</v>
      </c>
      <c r="R91" s="50">
        <v>0.6314151040366514</v>
      </c>
      <c r="S91" s="50">
        <v>0.5932365163507144</v>
      </c>
      <c r="T91" s="50">
        <v>0.8134975991541974</v>
      </c>
      <c r="U91" s="50">
        <v>0.8076239702794379</v>
      </c>
      <c r="V91" s="50">
        <v>1.1659153316397703</v>
      </c>
      <c r="W91" s="50">
        <v>1.2246516203873659</v>
      </c>
      <c r="X91" s="50">
        <v>1.3391873834451768</v>
      </c>
      <c r="Y91" s="50">
        <v>1.4272918165665702</v>
      </c>
      <c r="Z91" s="50">
        <v>2.0598707635500464</v>
      </c>
      <c r="AA91" s="50">
        <v>1.4980878280363972</v>
      </c>
      <c r="AB91" s="51"/>
      <c r="AC91" s="49">
        <v>52</v>
      </c>
      <c r="AD91" s="50">
        <v>4.963210568760436</v>
      </c>
      <c r="AE91" s="50">
        <v>4.103899673837772</v>
      </c>
      <c r="AF91" s="50">
        <v>0.687214578346867</v>
      </c>
      <c r="AG91" s="50">
        <v>0.6431623617861706</v>
      </c>
      <c r="AH91" s="50">
        <v>0.895728403400831</v>
      </c>
      <c r="AI91" s="50">
        <v>0.8898547745260714</v>
      </c>
      <c r="AJ91" s="50">
        <v>1.324503311258278</v>
      </c>
      <c r="AK91" s="50">
        <v>1.3891132288806332</v>
      </c>
      <c r="AL91" s="50">
        <v>1.5418275796243814</v>
      </c>
      <c r="AM91" s="50">
        <v>1.6446160849326734</v>
      </c>
      <c r="AN91" s="50">
        <v>2.264275352762759</v>
      </c>
      <c r="AO91" s="50">
        <v>1.593696426216537</v>
      </c>
      <c r="AP91" s="51"/>
      <c r="AQ91" s="49">
        <v>52</v>
      </c>
      <c r="AR91" s="50">
        <v>6.243072797083395</v>
      </c>
      <c r="AS91" s="50">
        <v>4.928556199108736</v>
      </c>
      <c r="AT91" s="50">
        <v>0.7488876815318423</v>
      </c>
      <c r="AU91" s="50">
        <v>0.701898650533766</v>
      </c>
      <c r="AV91" s="50">
        <v>0.9926432798343636</v>
      </c>
      <c r="AW91" s="50">
        <v>0.9838328365222243</v>
      </c>
      <c r="AX91" s="50">
        <v>1.5124594352505838</v>
      </c>
      <c r="AY91" s="50">
        <v>1.5858797961850781</v>
      </c>
      <c r="AZ91" s="50">
        <v>1.7885199923642823</v>
      </c>
      <c r="BA91" s="50">
        <v>1.9059925698594735</v>
      </c>
      <c r="BB91" s="50">
        <v>2.494395358037716</v>
      </c>
      <c r="BC91" s="50">
        <v>1.6972174601081365</v>
      </c>
      <c r="BD91" s="35"/>
      <c r="BE91" s="49">
        <v>52</v>
      </c>
      <c r="BF91" s="52">
        <f t="shared" si="5"/>
        <v>2.6438825233767944</v>
      </c>
      <c r="BG91" s="55">
        <v>15166</v>
      </c>
      <c r="BH91" s="56">
        <v>40.09712234953246</v>
      </c>
      <c r="BI91" s="56">
        <f t="shared" si="6"/>
        <v>41.5005216317661</v>
      </c>
    </row>
    <row r="92" spans="1:61" ht="15">
      <c r="A92" s="49">
        <v>53</v>
      </c>
      <c r="B92">
        <v>3.8013065568644557</v>
      </c>
      <c r="C92">
        <v>3.080100585470695</v>
      </c>
      <c r="D92">
        <v>0.5480929062401726</v>
      </c>
      <c r="E92">
        <v>0.512152387798194</v>
      </c>
      <c r="F92">
        <v>0.7038351528220795</v>
      </c>
      <c r="G92">
        <v>0.697845066415083</v>
      </c>
      <c r="H92">
        <v>1.009329559578897</v>
      </c>
      <c r="I92">
        <v>1.0572502508348682</v>
      </c>
      <c r="J92">
        <v>1.1590817197538075</v>
      </c>
      <c r="K92">
        <v>1.2339577998412627</v>
      </c>
      <c r="L92">
        <v>1.9038887132469176</v>
      </c>
      <c r="M92">
        <v>1.2545052165665507</v>
      </c>
      <c r="N92" s="51"/>
      <c r="O92" s="49">
        <v>53</v>
      </c>
      <c r="P92" s="50">
        <v>4.4138312995459605</v>
      </c>
      <c r="Q92" s="50">
        <v>3.620030837299725</v>
      </c>
      <c r="R92" s="50">
        <v>0.6327845024183646</v>
      </c>
      <c r="S92" s="50">
        <v>0.5920607473122322</v>
      </c>
      <c r="T92" s="50">
        <v>0.8113425055760218</v>
      </c>
      <c r="U92" s="50">
        <v>0.8082099090293964</v>
      </c>
      <c r="V92" s="50">
        <v>1.165325915344711</v>
      </c>
      <c r="W92" s="50">
        <v>1.2248452497305968</v>
      </c>
      <c r="X92" s="50">
        <v>1.3376187254091172</v>
      </c>
      <c r="Y92" s="50">
        <v>1.4284640252612586</v>
      </c>
      <c r="Z92" s="50">
        <v>2.214163259923513</v>
      </c>
      <c r="AA92" s="50">
        <v>1.4730317816167744</v>
      </c>
      <c r="AB92" s="51"/>
      <c r="AC92" s="49">
        <v>53</v>
      </c>
      <c r="AD92" s="50">
        <v>5.436937972669957</v>
      </c>
      <c r="AE92" s="50">
        <v>4.279129563647824</v>
      </c>
      <c r="AF92" s="50">
        <v>0.6860386437109992</v>
      </c>
      <c r="AG92" s="50">
        <v>0.6453148886048669</v>
      </c>
      <c r="AH92" s="50">
        <v>0.8959226123349122</v>
      </c>
      <c r="AI92" s="50">
        <v>0.889657419241661</v>
      </c>
      <c r="AJ92" s="50">
        <v>1.3250883392226152</v>
      </c>
      <c r="AK92" s="50">
        <v>1.390872866701752</v>
      </c>
      <c r="AL92" s="50">
        <v>1.541237500939779</v>
      </c>
      <c r="AM92" s="50">
        <v>1.6446131869784228</v>
      </c>
      <c r="AN92" s="50">
        <v>2.4218646973493336</v>
      </c>
      <c r="AO92" s="50">
        <v>1.5580904655149674</v>
      </c>
      <c r="AP92" s="51"/>
      <c r="AQ92" s="49">
        <v>53</v>
      </c>
      <c r="AR92" s="50">
        <v>6.799618324197632</v>
      </c>
      <c r="AS92" s="50">
        <v>5.110521208005166</v>
      </c>
      <c r="AT92" s="50">
        <v>0.7486905746435106</v>
      </c>
      <c r="AU92" s="50">
        <v>0.7017016264441271</v>
      </c>
      <c r="AV92" s="50">
        <v>0.9930331052803049</v>
      </c>
      <c r="AW92" s="50">
        <v>0.9836353156404282</v>
      </c>
      <c r="AX92" s="50">
        <v>1.5099115354735235</v>
      </c>
      <c r="AY92" s="50">
        <v>1.5850938525925369</v>
      </c>
      <c r="AZ92" s="50">
        <v>1.7887126281231989</v>
      </c>
      <c r="BA92" s="50">
        <v>1.9077512968949706</v>
      </c>
      <c r="BB92" s="50">
        <v>2.6552815508373997</v>
      </c>
      <c r="BC92" s="50">
        <v>1.649083476196756</v>
      </c>
      <c r="BD92" s="35"/>
      <c r="BE92" s="49">
        <v>53</v>
      </c>
      <c r="BF92" s="52">
        <f t="shared" si="5"/>
        <v>2.8203608586856315</v>
      </c>
      <c r="BG92" s="55">
        <v>15166</v>
      </c>
      <c r="BH92" s="56">
        <v>42.773592782826285</v>
      </c>
      <c r="BI92" s="56">
        <f t="shared" si="6"/>
        <v>44.2706685302252</v>
      </c>
    </row>
    <row r="93" spans="1:61" ht="15">
      <c r="A93" s="49">
        <v>54</v>
      </c>
      <c r="B93">
        <v>4.166530285322608</v>
      </c>
      <c r="C93">
        <v>3.314868903834145</v>
      </c>
      <c r="D93">
        <v>0.5487347012123506</v>
      </c>
      <c r="E93">
        <v>0.5134359777425503</v>
      </c>
      <c r="F93">
        <v>0.7059744693960067</v>
      </c>
      <c r="G93">
        <v>0.6995565196742249</v>
      </c>
      <c r="H93">
        <v>1.010827081180646</v>
      </c>
      <c r="I93">
        <v>1.05896170409401</v>
      </c>
      <c r="J93">
        <v>1.16164889964252</v>
      </c>
      <c r="K93">
        <v>1.235455321443012</v>
      </c>
      <c r="L93">
        <v>2.0063231109705977</v>
      </c>
      <c r="M93">
        <v>1.28169459374012</v>
      </c>
      <c r="N93" s="51"/>
      <c r="O93" s="49">
        <v>54</v>
      </c>
      <c r="P93" s="50">
        <v>4.8700721146584804</v>
      </c>
      <c r="Q93" s="50">
        <v>3.873905744134265</v>
      </c>
      <c r="R93" s="50">
        <v>0.6309952943861556</v>
      </c>
      <c r="S93" s="50">
        <v>0.5940753569486679</v>
      </c>
      <c r="T93" s="50">
        <v>0.8122386236247323</v>
      </c>
      <c r="U93" s="50">
        <v>0.8055259077270073</v>
      </c>
      <c r="V93" s="50">
        <v>1.164656208255298</v>
      </c>
      <c r="W93" s="50">
        <v>1.2250706513348235</v>
      </c>
      <c r="X93" s="50">
        <v>1.3391868215961495</v>
      </c>
      <c r="Y93" s="50">
        <v>1.4264521282665752</v>
      </c>
      <c r="Z93" s="50">
        <v>2.349993406303574</v>
      </c>
      <c r="AA93" s="50">
        <v>1.4961097191085322</v>
      </c>
      <c r="AB93" s="51"/>
      <c r="AC93" s="49">
        <v>54</v>
      </c>
      <c r="AD93" s="50">
        <v>5.968271698336119</v>
      </c>
      <c r="AE93" s="50">
        <v>4.556588492667369</v>
      </c>
      <c r="AF93" s="50">
        <v>0.6880533795168187</v>
      </c>
      <c r="AG93" s="50">
        <v>0.6444207261816057</v>
      </c>
      <c r="AH93" s="50">
        <v>0.8961475723462955</v>
      </c>
      <c r="AI93" s="50">
        <v>0.8894348564485706</v>
      </c>
      <c r="AJ93" s="50">
        <v>1.3257613898006995</v>
      </c>
      <c r="AK93" s="50">
        <v>1.3895321908290874</v>
      </c>
      <c r="AL93" s="50">
        <v>1.5405682985279014</v>
      </c>
      <c r="AM93" s="50">
        <v>1.6446153949426399</v>
      </c>
      <c r="AN93" s="50">
        <v>2.5557167348015293</v>
      </c>
      <c r="AO93" s="50">
        <v>1.574574706580509</v>
      </c>
      <c r="AP93" s="51"/>
      <c r="AQ93" s="49">
        <v>54</v>
      </c>
      <c r="AR93" s="50">
        <v>7.420231172354907</v>
      </c>
      <c r="AS93" s="50">
        <v>5.412459195105628</v>
      </c>
      <c r="AT93" s="50">
        <v>0.7484678225963441</v>
      </c>
      <c r="AU93" s="50">
        <v>0.7014788113122687</v>
      </c>
      <c r="AV93" s="50">
        <v>0.9934819528633089</v>
      </c>
      <c r="AW93" s="50">
        <v>0.9834128790167213</v>
      </c>
      <c r="AX93" s="50">
        <v>1.5103610769881386</v>
      </c>
      <c r="AY93" s="50">
        <v>1.5875573098119768</v>
      </c>
      <c r="AZ93" s="50">
        <v>1.7889387867437287</v>
      </c>
      <c r="BA93" s="50">
        <v>1.906411314953917</v>
      </c>
      <c r="BB93" s="50">
        <v>2.783199261506</v>
      </c>
      <c r="BC93" s="50">
        <v>1.658314651193459</v>
      </c>
      <c r="BD93" s="35"/>
      <c r="BE93" s="49">
        <v>54</v>
      </c>
      <c r="BF93" s="52">
        <f t="shared" si="5"/>
        <v>3.0277887527986302</v>
      </c>
      <c r="BG93" s="55">
        <v>15166</v>
      </c>
      <c r="BH93" s="56">
        <v>45.91944422494403</v>
      </c>
      <c r="BI93" s="56">
        <f t="shared" si="6"/>
        <v>47.526624772817065</v>
      </c>
    </row>
    <row r="94" spans="1:61" ht="15">
      <c r="A94" s="49">
        <v>55</v>
      </c>
      <c r="B94">
        <v>4.69023441495788</v>
      </c>
      <c r="C94">
        <v>3.52908000630341</v>
      </c>
      <c r="D94">
        <v>0.5494752338725563</v>
      </c>
      <c r="E94">
        <v>0.511461223982002</v>
      </c>
      <c r="F94">
        <v>0.7049870925157327</v>
      </c>
      <c r="G94">
        <v>0.6980754543538136</v>
      </c>
      <c r="H94">
        <v>1.0090991716401663</v>
      </c>
      <c r="I94">
        <v>1.0574806387735989</v>
      </c>
      <c r="J94">
        <v>1.161155211202383</v>
      </c>
      <c r="K94">
        <v>1.233727411902532</v>
      </c>
      <c r="L94">
        <v>2.1909579513120456</v>
      </c>
      <c r="M94">
        <v>1.2557698387606702</v>
      </c>
      <c r="N94" s="51"/>
      <c r="O94" s="49">
        <v>55</v>
      </c>
      <c r="P94" s="50">
        <v>5.4160223754304</v>
      </c>
      <c r="Q94" s="50">
        <v>4.106114134068964</v>
      </c>
      <c r="R94" s="50">
        <v>0.632543076183488</v>
      </c>
      <c r="S94" s="50">
        <v>0.592783225680526</v>
      </c>
      <c r="T94" s="50">
        <v>0.8132696693787703</v>
      </c>
      <c r="U94" s="50">
        <v>0.806040605650959</v>
      </c>
      <c r="V94" s="50">
        <v>1.1638792601776182</v>
      </c>
      <c r="W94" s="50">
        <v>1.2253263018640141</v>
      </c>
      <c r="X94" s="50">
        <v>1.337376789645089</v>
      </c>
      <c r="Y94" s="50">
        <v>1.4277400862427303</v>
      </c>
      <c r="Z94" s="50">
        <v>2.5036265330344194</v>
      </c>
      <c r="AA94" s="50">
        <v>1.4591850191217197</v>
      </c>
      <c r="AB94" s="51"/>
      <c r="AC94" s="49">
        <v>55</v>
      </c>
      <c r="AD94" s="50">
        <v>6.6037592631549265</v>
      </c>
      <c r="AE94" s="50">
        <v>4.805888514663815</v>
      </c>
      <c r="AF94" s="50">
        <v>0.6867610541420727</v>
      </c>
      <c r="AG94" s="50">
        <v>0.643386671775205</v>
      </c>
      <c r="AH94" s="50">
        <v>0.8964039022486002</v>
      </c>
      <c r="AI94" s="50">
        <v>0.8891748385207889</v>
      </c>
      <c r="AJ94" s="50">
        <v>1.3229186621894664</v>
      </c>
      <c r="AK94" s="50">
        <v>1.3915947676036737</v>
      </c>
      <c r="AL94" s="50">
        <v>1.5434051058877107</v>
      </c>
      <c r="AM94" s="50">
        <v>1.644611998077069</v>
      </c>
      <c r="AN94" s="50">
        <v>2.706053013319267</v>
      </c>
      <c r="AO94" s="50">
        <v>1.5264407226691283</v>
      </c>
      <c r="AP94" s="51"/>
      <c r="AQ94" s="49">
        <v>55</v>
      </c>
      <c r="AR94" s="50">
        <v>8.163070563715975</v>
      </c>
      <c r="AS94" s="50">
        <v>5.677714860735501</v>
      </c>
      <c r="AT94" s="50">
        <v>0.7482080958284686</v>
      </c>
      <c r="AU94" s="50">
        <v>0.7012191815976954</v>
      </c>
      <c r="AV94" s="50">
        <v>0.9903817307101471</v>
      </c>
      <c r="AW94" s="50">
        <v>0.9831526669823358</v>
      </c>
      <c r="AX94" s="50">
        <v>1.51087431911256</v>
      </c>
      <c r="AY94" s="50">
        <v>1.5867794882545785</v>
      </c>
      <c r="AZ94" s="50">
        <v>1.7891932726332949</v>
      </c>
      <c r="BA94" s="50">
        <v>1.9084728241421811</v>
      </c>
      <c r="BB94" s="50">
        <v>2.9295793221680073</v>
      </c>
      <c r="BC94" s="50">
        <v>1.5969932744296451</v>
      </c>
      <c r="BD94" s="35"/>
      <c r="BE94" s="49">
        <v>55</v>
      </c>
      <c r="BF94" s="52">
        <f t="shared" si="5"/>
        <v>3.1522454892664293</v>
      </c>
      <c r="BG94" s="55">
        <v>15166</v>
      </c>
      <c r="BH94" s="56">
        <v>47.80695509021467</v>
      </c>
      <c r="BI94" s="56">
        <f t="shared" si="6"/>
        <v>49.480198518372184</v>
      </c>
    </row>
    <row r="95" spans="1:61" ht="15">
      <c r="A95" s="49">
        <v>56</v>
      </c>
      <c r="B95">
        <v>5.100558575557453</v>
      </c>
      <c r="C95">
        <v>3.7340701139613937</v>
      </c>
      <c r="D95">
        <v>0.5465953846384234</v>
      </c>
      <c r="E95">
        <v>0.5129011485990685</v>
      </c>
      <c r="F95">
        <v>0.7038351528220794</v>
      </c>
      <c r="G95">
        <v>0.696347544813334</v>
      </c>
      <c r="H95">
        <v>1.0108270811806461</v>
      </c>
      <c r="I95">
        <v>1.059496533237492</v>
      </c>
      <c r="J95">
        <v>1.1605792413555565</v>
      </c>
      <c r="K95">
        <v>1.235455321443012</v>
      </c>
      <c r="L95">
        <v>2.2712614606386343</v>
      </c>
      <c r="M95">
        <v>1.2051849509958898</v>
      </c>
      <c r="N95" s="51"/>
      <c r="O95" s="49">
        <v>56</v>
      </c>
      <c r="P95" s="50">
        <v>5.936270455855449</v>
      </c>
      <c r="Q95" s="50">
        <v>4.335513620529785</v>
      </c>
      <c r="R95" s="50">
        <v>0.6304355487334511</v>
      </c>
      <c r="S95" s="50">
        <v>0.5912780612344789</v>
      </c>
      <c r="T95" s="50">
        <v>0.8144757399786201</v>
      </c>
      <c r="U95" s="50">
        <v>0.8066442424788257</v>
      </c>
      <c r="V95" s="50">
        <v>1.166893127469369</v>
      </c>
      <c r="W95" s="50">
        <v>1.22171360996793</v>
      </c>
      <c r="X95" s="50">
        <v>1.3391860724648463</v>
      </c>
      <c r="Y95" s="50">
        <v>1.425332544962585</v>
      </c>
      <c r="Z95" s="50">
        <v>2.6552815508373997</v>
      </c>
      <c r="AA95" s="50">
        <v>1.3965449030726624</v>
      </c>
      <c r="AB95" s="51"/>
      <c r="AC95" s="49">
        <v>56</v>
      </c>
      <c r="AD95" s="50">
        <v>7.201056311555523</v>
      </c>
      <c r="AE95" s="50">
        <v>5.0497456331604145</v>
      </c>
      <c r="AF95" s="50">
        <v>0.6852560312320121</v>
      </c>
      <c r="AG95" s="50">
        <v>0.64609854373304</v>
      </c>
      <c r="AH95" s="50">
        <v>0.8967064637264615</v>
      </c>
      <c r="AI95" s="50">
        <v>0.8888749662266671</v>
      </c>
      <c r="AJ95" s="50">
        <v>1.3235230774652575</v>
      </c>
      <c r="AK95" s="50">
        <v>1.39009080621351</v>
      </c>
      <c r="AL95" s="50">
        <v>1.5428050074595012</v>
      </c>
      <c r="AM95" s="50">
        <v>1.644614474956829</v>
      </c>
      <c r="AN95" s="50">
        <v>2.856389291837004</v>
      </c>
      <c r="AO95" s="50">
        <v>1.4519319530528814</v>
      </c>
      <c r="AP95" s="51"/>
      <c r="AQ95" s="49">
        <v>56</v>
      </c>
      <c r="AR95" s="50">
        <v>8.85115154249054</v>
      </c>
      <c r="AS95" s="50">
        <v>5.933137859308824</v>
      </c>
      <c r="AT95" s="50">
        <v>0.7479080112303673</v>
      </c>
      <c r="AU95" s="50">
        <v>0.700919026231601</v>
      </c>
      <c r="AV95" s="50">
        <v>0.9906844337239946</v>
      </c>
      <c r="AW95" s="50">
        <v>0.9867686849740973</v>
      </c>
      <c r="AX95" s="50">
        <v>1.5114790174603236</v>
      </c>
      <c r="AY95" s="50">
        <v>1.5858782437083707</v>
      </c>
      <c r="AZ95" s="50">
        <v>1.7894971787030258</v>
      </c>
      <c r="BA95" s="50">
        <v>1.9069696411999422</v>
      </c>
      <c r="BB95" s="50">
        <v>3.0759593828300145</v>
      </c>
      <c r="BC95" s="50">
        <v>1.5099564816035869</v>
      </c>
      <c r="BD95" s="35"/>
      <c r="BE95" s="49">
        <v>56</v>
      </c>
      <c r="BF95" s="52">
        <f t="shared" si="5"/>
        <v>3.3787699196628473</v>
      </c>
      <c r="BG95" s="55">
        <v>15166</v>
      </c>
      <c r="BH95" s="56">
        <v>51.24242460160674</v>
      </c>
      <c r="BI95" s="56">
        <f t="shared" si="6"/>
        <v>53.03590946266297</v>
      </c>
    </row>
    <row r="96" spans="1:61" ht="15">
      <c r="A96" s="49">
        <v>57</v>
      </c>
      <c r="B96">
        <v>5.639394075532267</v>
      </c>
      <c r="C96">
        <v>3.9461055589363236</v>
      </c>
      <c r="D96">
        <v>0.5472760762755822</v>
      </c>
      <c r="E96">
        <v>0.5146028776919653</v>
      </c>
      <c r="F96">
        <v>0.7065579193707142</v>
      </c>
      <c r="G96">
        <v>0.69838961972481</v>
      </c>
      <c r="H96">
        <v>1.0087850062691701</v>
      </c>
      <c r="I96">
        <v>1.0577948041445953</v>
      </c>
      <c r="J96">
        <v>1.1598985497183978</v>
      </c>
      <c r="K96">
        <v>1.233413246531536</v>
      </c>
      <c r="L96">
        <v>2.4185899462535567</v>
      </c>
      <c r="M96">
        <v>1.1685109073664244</v>
      </c>
      <c r="N96" s="51"/>
      <c r="O96" s="49">
        <v>57</v>
      </c>
      <c r="P96" s="50">
        <v>6.5690549582738145</v>
      </c>
      <c r="Q96" s="50">
        <v>4.557927975340201</v>
      </c>
      <c r="R96" s="50">
        <v>0.6322138591530042</v>
      </c>
      <c r="S96" s="50">
        <v>0.5937684217720783</v>
      </c>
      <c r="T96" s="50">
        <v>0.811625900263992</v>
      </c>
      <c r="U96" s="50">
        <v>0.8073541849994447</v>
      </c>
      <c r="V96" s="50">
        <v>1.16617826722142</v>
      </c>
      <c r="W96" s="50">
        <v>1.2217105656605354</v>
      </c>
      <c r="X96" s="50">
        <v>1.337046877803313</v>
      </c>
      <c r="Y96" s="50">
        <v>1.426752898358807</v>
      </c>
      <c r="Z96" s="50">
        <v>2.789133588289595</v>
      </c>
      <c r="AA96" s="50">
        <v>1.3042331531056313</v>
      </c>
      <c r="AB96" s="51"/>
      <c r="AC96" s="49">
        <v>57</v>
      </c>
      <c r="AD96" s="50">
        <v>7.928317078005072</v>
      </c>
      <c r="AE96" s="50">
        <v>5.2841208111488545</v>
      </c>
      <c r="AF96" s="50">
        <v>0.6877461575921197</v>
      </c>
      <c r="AG96" s="50">
        <v>0.6450290049466463</v>
      </c>
      <c r="AH96" s="50">
        <v>0.8970602055549386</v>
      </c>
      <c r="AI96" s="50">
        <v>0.8885167750258438</v>
      </c>
      <c r="AJ96" s="50">
        <v>1.324231732009671</v>
      </c>
      <c r="AK96" s="50">
        <v>1.388307460977881</v>
      </c>
      <c r="AL96" s="50">
        <v>1.5420892105015847</v>
      </c>
      <c r="AM96" s="50">
        <v>1.6446103768507208</v>
      </c>
      <c r="AN96" s="50">
        <v>2.9823288935777392</v>
      </c>
      <c r="AO96" s="50">
        <v>1.3477515495186603</v>
      </c>
      <c r="AP96" s="51"/>
      <c r="AQ96" s="49">
        <v>57</v>
      </c>
      <c r="AR96" s="50">
        <v>9.689975463225595</v>
      </c>
      <c r="AS96" s="50">
        <v>6.175202137911709</v>
      </c>
      <c r="AT96" s="50">
        <v>0.747550171295782</v>
      </c>
      <c r="AU96" s="50">
        <v>0.7005613033857614</v>
      </c>
      <c r="AV96" s="50">
        <v>0.9910379413749797</v>
      </c>
      <c r="AW96" s="50">
        <v>0.9867662261104325</v>
      </c>
      <c r="AX96" s="50">
        <v>1.5121872036497535</v>
      </c>
      <c r="AY96" s="50">
        <v>1.584806363147058</v>
      </c>
      <c r="AZ96" s="50">
        <v>1.78984869584533</v>
      </c>
      <c r="BA96" s="50">
        <v>1.9051850079881076</v>
      </c>
      <c r="BB96" s="50">
        <v>3.192008439931425</v>
      </c>
      <c r="BC96" s="50">
        <v>1.393248054859554</v>
      </c>
      <c r="BD96" s="35"/>
      <c r="BE96" s="49">
        <v>57</v>
      </c>
      <c r="BF96" s="52">
        <f t="shared" si="5"/>
        <v>3.5150796786513894</v>
      </c>
      <c r="BG96" s="55">
        <v>15166</v>
      </c>
      <c r="BH96" s="56">
        <v>53.309698406426975</v>
      </c>
      <c r="BI96" s="56">
        <f t="shared" si="6"/>
        <v>55.175537850651914</v>
      </c>
    </row>
    <row r="97" spans="1:61" ht="15">
      <c r="A97" s="49">
        <v>58</v>
      </c>
      <c r="B97">
        <v>6.147625679500427</v>
      </c>
      <c r="C97">
        <v>4.239184150231368</v>
      </c>
      <c r="D97">
        <v>0.5480929062401725</v>
      </c>
      <c r="E97">
        <v>0.5121523877981939</v>
      </c>
      <c r="F97">
        <v>0.7053326744238285</v>
      </c>
      <c r="G97">
        <v>0.6963475448133339</v>
      </c>
      <c r="H97">
        <v>1.010827081180646</v>
      </c>
      <c r="I97">
        <v>1.0602452940383664</v>
      </c>
      <c r="J97">
        <v>1.1590817197538075</v>
      </c>
      <c r="K97">
        <v>1.235455321443012</v>
      </c>
      <c r="L97">
        <v>2.5292443882390137</v>
      </c>
      <c r="M97">
        <v>1.0938981979133735</v>
      </c>
      <c r="N97" s="51"/>
      <c r="O97" s="49">
        <v>58</v>
      </c>
      <c r="P97" s="50">
        <v>7.170513495225923</v>
      </c>
      <c r="Q97" s="50">
        <v>4.8530185700323285</v>
      </c>
      <c r="R97" s="50">
        <v>0.629651905871739</v>
      </c>
      <c r="S97" s="50">
        <v>0.5920607473122322</v>
      </c>
      <c r="T97" s="50">
        <v>0.8129088038493346</v>
      </c>
      <c r="U97" s="50">
        <v>0.8082099090293963</v>
      </c>
      <c r="V97" s="50">
        <v>1.165325915344711</v>
      </c>
      <c r="W97" s="50">
        <v>1.2217126531839713</v>
      </c>
      <c r="X97" s="50">
        <v>1.33918502368243</v>
      </c>
      <c r="Y97" s="50">
        <v>1.4284640252612588</v>
      </c>
      <c r="Z97" s="50">
        <v>2.920348147171304</v>
      </c>
      <c r="AA97" s="50">
        <v>1.247527363840169</v>
      </c>
      <c r="AB97" s="51"/>
      <c r="AC97" s="49">
        <v>58</v>
      </c>
      <c r="AD97" s="50">
        <v>8.61119464701902</v>
      </c>
      <c r="AE97" s="50">
        <v>5.598263288474551</v>
      </c>
      <c r="AF97" s="50">
        <v>0.6860386437109992</v>
      </c>
      <c r="AG97" s="50">
        <v>0.6437485903315541</v>
      </c>
      <c r="AH97" s="50">
        <v>0.897488910608225</v>
      </c>
      <c r="AI97" s="50">
        <v>0.8880911209683482</v>
      </c>
      <c r="AJ97" s="50">
        <v>1.325088339222615</v>
      </c>
      <c r="AK97" s="50">
        <v>1.3908728667017518</v>
      </c>
      <c r="AL97" s="50">
        <v>1.541237500939779</v>
      </c>
      <c r="AM97" s="50">
        <v>1.6446131869784228</v>
      </c>
      <c r="AN97" s="50">
        <v>3.1076091256758542</v>
      </c>
      <c r="AO97" s="50">
        <v>1.2824739548991164</v>
      </c>
      <c r="AP97" s="51"/>
      <c r="AQ97" s="49">
        <v>58</v>
      </c>
      <c r="AR97" s="50">
        <v>10.465378542966695</v>
      </c>
      <c r="AS97" s="50">
        <v>6.507969325614615</v>
      </c>
      <c r="AT97" s="50">
        <v>0.7471242763701978</v>
      </c>
      <c r="AU97" s="50">
        <v>0.7001353281708143</v>
      </c>
      <c r="AV97" s="50">
        <v>0.991466807006992</v>
      </c>
      <c r="AW97" s="50">
        <v>0.9867679121870537</v>
      </c>
      <c r="AX97" s="50">
        <v>1.513044132020149</v>
      </c>
      <c r="AY97" s="50">
        <v>1.5882264491391627</v>
      </c>
      <c r="AZ97" s="50">
        <v>1.7902789263965118</v>
      </c>
      <c r="BA97" s="50">
        <v>1.9077512968949704</v>
      </c>
      <c r="BB97" s="50">
        <v>3.3093762363180796</v>
      </c>
      <c r="BC97" s="50">
        <v>1.3193986548859291</v>
      </c>
      <c r="BD97" s="35"/>
      <c r="BE97" s="49">
        <v>58</v>
      </c>
      <c r="BF97" s="52">
        <f t="shared" si="5"/>
        <v>3.624390886342684</v>
      </c>
      <c r="BG97" s="55">
        <v>15166</v>
      </c>
      <c r="BH97" s="56">
        <v>54.96751218227315</v>
      </c>
      <c r="BI97" s="56">
        <f t="shared" si="6"/>
        <v>56.8913751086527</v>
      </c>
    </row>
    <row r="98" spans="1:61" ht="15">
      <c r="A98" s="49">
        <v>59</v>
      </c>
      <c r="B98">
        <v>6.703905037163496</v>
      </c>
      <c r="C98">
        <v>4.408703595549365</v>
      </c>
      <c r="D98">
        <v>0.549091253974672</v>
      </c>
      <c r="E98">
        <v>0.5141490832671928</v>
      </c>
      <c r="F98">
        <v>0.7038351528220794</v>
      </c>
      <c r="G98">
        <v>0.6988434141495825</v>
      </c>
      <c r="H98">
        <v>1.0083312118443977</v>
      </c>
      <c r="I98">
        <v>1.0582485985693677</v>
      </c>
      <c r="J98">
        <v>1.158083372019308</v>
      </c>
      <c r="K98">
        <v>1.2329594521067635</v>
      </c>
      <c r="L98">
        <v>2.582990831489093</v>
      </c>
      <c r="M98">
        <v>1.0003161555485298</v>
      </c>
      <c r="N98" s="51"/>
      <c r="O98" s="49">
        <v>59</v>
      </c>
      <c r="P98" s="50">
        <v>7.786590816062284</v>
      </c>
      <c r="Q98" s="50">
        <v>5.027817457334035</v>
      </c>
      <c r="R98" s="50">
        <v>0.6317416228972402</v>
      </c>
      <c r="S98" s="50">
        <v>0.5899735817139515</v>
      </c>
      <c r="T98" s="50">
        <v>0.8144768030741278</v>
      </c>
      <c r="U98" s="50">
        <v>0.8092557979262168</v>
      </c>
      <c r="V98" s="50">
        <v>1.16428414798417</v>
      </c>
      <c r="W98" s="50">
        <v>1.2217152046111917</v>
      </c>
      <c r="X98" s="50">
        <v>1.3365773178652354</v>
      </c>
      <c r="Y98" s="50">
        <v>1.425334405379724</v>
      </c>
      <c r="Z98" s="50">
        <v>2.9691415007253066</v>
      </c>
      <c r="AA98" s="50">
        <v>1.0840036924699987</v>
      </c>
      <c r="AB98" s="51"/>
      <c r="AC98" s="49">
        <v>59</v>
      </c>
      <c r="AD98" s="50">
        <v>9.303811743477935</v>
      </c>
      <c r="AE98" s="50">
        <v>5.772331236582045</v>
      </c>
      <c r="AF98" s="50">
        <v>0.6891726795242621</v>
      </c>
      <c r="AG98" s="50">
        <v>0.6421836331930624</v>
      </c>
      <c r="AH98" s="50">
        <v>0.898012885440705</v>
      </c>
      <c r="AI98" s="50">
        <v>0.8927918802927939</v>
      </c>
      <c r="AJ98" s="50">
        <v>1.3261353075694133</v>
      </c>
      <c r="AK98" s="50">
        <v>1.3887873693443464</v>
      </c>
      <c r="AL98" s="50">
        <v>1.5401965186337676</v>
      </c>
      <c r="AM98" s="50">
        <v>1.6446166215919888</v>
      </c>
      <c r="AN98" s="50">
        <v>3.1399182381643147</v>
      </c>
      <c r="AO98" s="50">
        <v>1.1077409996043783</v>
      </c>
      <c r="AP98" s="51"/>
      <c r="AQ98" s="49">
        <v>59</v>
      </c>
      <c r="AR98" s="50">
        <v>11.241844806990285</v>
      </c>
      <c r="AS98" s="50">
        <v>6.676607439707959</v>
      </c>
      <c r="AT98" s="50">
        <v>0.7466037361512838</v>
      </c>
      <c r="AU98" s="50">
        <v>0.6996146898200842</v>
      </c>
      <c r="AV98" s="50">
        <v>0.9919909781031044</v>
      </c>
      <c r="AW98" s="50">
        <v>0.9867699729551934</v>
      </c>
      <c r="AX98" s="50">
        <v>1.508870487746301</v>
      </c>
      <c r="AY98" s="50">
        <v>1.5871855649649673</v>
      </c>
      <c r="AZ98" s="50">
        <v>1.7855837605855878</v>
      </c>
      <c r="BA98" s="50">
        <v>1.9056668789875428</v>
      </c>
      <c r="BB98" s="50">
        <v>3.3238823684557564</v>
      </c>
      <c r="BC98" s="50">
        <v>1.1321376763813795</v>
      </c>
      <c r="BD98" s="35"/>
      <c r="BE98" s="49">
        <v>59</v>
      </c>
      <c r="BF98" s="52">
        <f t="shared" si="5"/>
        <v>3.7475306203081784</v>
      </c>
      <c r="BG98" s="55">
        <v>15166</v>
      </c>
      <c r="BH98" s="56">
        <v>56.835049387593834</v>
      </c>
      <c r="BI98" s="56">
        <f t="shared" si="6"/>
        <v>58.824276116159616</v>
      </c>
    </row>
    <row r="99" spans="1:61" ht="15">
      <c r="A99" s="49">
        <v>60</v>
      </c>
      <c r="B99">
        <v>7.3958848106383925</v>
      </c>
      <c r="C99">
        <v>4.69809964508738</v>
      </c>
      <c r="D99">
        <v>0.5503391886427961</v>
      </c>
      <c r="E99">
        <v>0.5110292465968822</v>
      </c>
      <c r="F99">
        <v>0.7075789568264522</v>
      </c>
      <c r="G99">
        <v>0.6963475448133339</v>
      </c>
      <c r="H99">
        <v>1.0108270811806461</v>
      </c>
      <c r="I99">
        <v>1.055752729233119</v>
      </c>
      <c r="J99">
        <v>1.162451143357743</v>
      </c>
      <c r="K99">
        <v>1.235455321443012</v>
      </c>
      <c r="L99">
        <v>2.6993360733480873</v>
      </c>
      <c r="M99">
        <v>0.8593107809042049</v>
      </c>
      <c r="N99" s="51"/>
      <c r="O99" s="49">
        <v>60</v>
      </c>
      <c r="P99" s="50">
        <v>8.570784151567551</v>
      </c>
      <c r="Q99" s="50">
        <v>5.435446582963688</v>
      </c>
      <c r="R99" s="50">
        <v>0.6284764438805778</v>
      </c>
      <c r="S99" s="50">
        <v>0.5932347741302649</v>
      </c>
      <c r="T99" s="50">
        <v>0.8105584042571936</v>
      </c>
      <c r="U99" s="50">
        <v>0.8046847926321417</v>
      </c>
      <c r="V99" s="50">
        <v>1.1629751017603214</v>
      </c>
      <c r="W99" s="50">
        <v>1.2217112180108427</v>
      </c>
      <c r="X99" s="50">
        <v>1.3391834505118854</v>
      </c>
      <c r="Y99" s="50">
        <v>1.4272876248876674</v>
      </c>
      <c r="Z99" s="50">
        <v>3.0944217328234207</v>
      </c>
      <c r="AA99" s="50">
        <v>0.986416985361994</v>
      </c>
      <c r="AB99" s="51"/>
      <c r="AC99" s="49">
        <v>60</v>
      </c>
      <c r="AD99" s="50">
        <v>10.189553417036313</v>
      </c>
      <c r="AE99" s="50">
        <v>6.210764228253515</v>
      </c>
      <c r="AF99" s="50">
        <v>0.687212560131099</v>
      </c>
      <c r="AG99" s="50">
        <v>0.6460972787557342</v>
      </c>
      <c r="AH99" s="50">
        <v>0.8986625786329757</v>
      </c>
      <c r="AI99" s="50">
        <v>0.8927889670079235</v>
      </c>
      <c r="AJ99" s="50">
        <v>1.321562615636729</v>
      </c>
      <c r="AK99" s="50">
        <v>1.3920459551373545</v>
      </c>
      <c r="AL99" s="50">
        <v>1.5447598573887096</v>
      </c>
      <c r="AM99" s="50">
        <v>1.644611255014596</v>
      </c>
      <c r="AN99" s="50">
        <v>3.2572860345509693</v>
      </c>
      <c r="AO99" s="50">
        <v>1.0029012264275354</v>
      </c>
      <c r="AP99" s="51"/>
      <c r="AQ99" s="49">
        <v>60</v>
      </c>
      <c r="AR99" s="50">
        <v>12.244145177054358</v>
      </c>
      <c r="AS99" s="50">
        <v>7.145844297421247</v>
      </c>
      <c r="AT99" s="50">
        <v>0.7459486763816203</v>
      </c>
      <c r="AU99" s="50">
        <v>0.7048333950062553</v>
      </c>
      <c r="AV99" s="50">
        <v>0.9926403646338097</v>
      </c>
      <c r="AW99" s="50">
        <v>0.9867667530087576</v>
      </c>
      <c r="AX99" s="50">
        <v>1.509518187638397</v>
      </c>
      <c r="AY99" s="50">
        <v>1.5858751387640748</v>
      </c>
      <c r="AZ99" s="50">
        <v>1.785577934015847</v>
      </c>
      <c r="BA99" s="50">
        <v>1.908923778141942</v>
      </c>
      <c r="BB99" s="50">
        <v>3.4307002505604642</v>
      </c>
      <c r="BC99" s="50">
        <v>1.0200448371356983</v>
      </c>
      <c r="BD99" s="35"/>
      <c r="BE99" s="49">
        <v>60</v>
      </c>
      <c r="BF99" s="52">
        <f t="shared" si="5"/>
        <v>3.8331357829579873</v>
      </c>
      <c r="BG99" s="55">
        <v>15166</v>
      </c>
      <c r="BH99" s="56">
        <v>58.13333728434084</v>
      </c>
      <c r="BI99" s="56">
        <f t="shared" si="6"/>
        <v>60.168004089292765</v>
      </c>
    </row>
    <row r="100" spans="1:61" ht="15">
      <c r="A100" s="49">
        <v>61</v>
      </c>
      <c r="B100">
        <v>8.057094080724973</v>
      </c>
      <c r="C100">
        <v>4.9726274444366005</v>
      </c>
      <c r="D100">
        <v>0.5455257263514597</v>
      </c>
      <c r="E100">
        <v>0.5134359777425503</v>
      </c>
      <c r="F100">
        <v>0.7059744693960067</v>
      </c>
      <c r="G100">
        <v>0.6995565196742249</v>
      </c>
      <c r="H100">
        <v>1.0076181063197551</v>
      </c>
      <c r="I100">
        <v>1.05896170409401</v>
      </c>
      <c r="J100">
        <v>1.16164889964252</v>
      </c>
      <c r="K100">
        <v>1.232246346582121</v>
      </c>
      <c r="L100">
        <v>2.7012330066392662</v>
      </c>
      <c r="M100">
        <v>0.7265254505216566</v>
      </c>
      <c r="N100" s="51"/>
      <c r="O100" s="49">
        <v>61</v>
      </c>
      <c r="P100" s="50">
        <v>9.345430526168816</v>
      </c>
      <c r="Q100" s="50">
        <v>5.764872673375793</v>
      </c>
      <c r="R100" s="50">
        <v>0.6309952943861556</v>
      </c>
      <c r="S100" s="50">
        <v>0.5907189989998054</v>
      </c>
      <c r="T100" s="50">
        <v>0.8122386236247323</v>
      </c>
      <c r="U100" s="50">
        <v>0.8055259077270073</v>
      </c>
      <c r="V100" s="50">
        <v>1.1680125662041605</v>
      </c>
      <c r="W100" s="50">
        <v>1.221714293385961</v>
      </c>
      <c r="X100" s="50">
        <v>1.335830463647287</v>
      </c>
      <c r="Y100" s="50">
        <v>1.4298084862154379</v>
      </c>
      <c r="Z100" s="50">
        <v>3.097718581036529</v>
      </c>
      <c r="AA100" s="50">
        <v>0.6877225372543847</v>
      </c>
      <c r="AB100" s="51"/>
      <c r="AC100" s="49">
        <v>61</v>
      </c>
      <c r="AD100" s="50">
        <v>11.055828240626376</v>
      </c>
      <c r="AE100" s="50">
        <v>6.5569720858796865</v>
      </c>
      <c r="AF100" s="50">
        <v>0.6846970215679561</v>
      </c>
      <c r="AG100" s="50">
        <v>0.6444207261816057</v>
      </c>
      <c r="AH100" s="50">
        <v>0.8995039302951582</v>
      </c>
      <c r="AI100" s="50">
        <v>0.892791214397433</v>
      </c>
      <c r="AJ100" s="50">
        <v>1.322405031851837</v>
      </c>
      <c r="AK100" s="50">
        <v>1.3895321908290874</v>
      </c>
      <c r="AL100" s="50">
        <v>1.5439246564767637</v>
      </c>
      <c r="AM100" s="50">
        <v>1.6446153949426399</v>
      </c>
      <c r="AN100" s="50">
        <v>3.2401424238428063</v>
      </c>
      <c r="AO100" s="50">
        <v>0.6936568640379797</v>
      </c>
      <c r="AP100" s="51"/>
      <c r="AQ100" s="49">
        <v>61</v>
      </c>
      <c r="AR100" s="50">
        <v>13.210607150912391</v>
      </c>
      <c r="AS100" s="50">
        <v>7.504806298130108</v>
      </c>
      <c r="AT100" s="50">
        <v>0.7451114646474818</v>
      </c>
      <c r="AU100" s="50">
        <v>0.7048351692611314</v>
      </c>
      <c r="AV100" s="50">
        <v>0.9934819528633089</v>
      </c>
      <c r="AW100" s="50">
        <v>0.9867692369655838</v>
      </c>
      <c r="AX100" s="50">
        <v>1.5103610769881386</v>
      </c>
      <c r="AY100" s="50">
        <v>1.5842009518631142</v>
      </c>
      <c r="AZ100" s="50">
        <v>1.785582428794866</v>
      </c>
      <c r="BA100" s="50">
        <v>1.906411314953917</v>
      </c>
      <c r="BB100" s="50">
        <v>3.391138072003165</v>
      </c>
      <c r="BC100" s="50">
        <v>0.7002505604641961</v>
      </c>
      <c r="BD100" s="35"/>
      <c r="BE100" s="49">
        <v>61</v>
      </c>
      <c r="BF100" s="52">
        <f t="shared" si="5"/>
        <v>3.8127222441722637</v>
      </c>
      <c r="BG100" s="55">
        <v>15166</v>
      </c>
      <c r="BH100" s="56">
        <v>57.82374555511655</v>
      </c>
      <c r="BI100" s="56">
        <f t="shared" si="6"/>
        <v>59.84757664954563</v>
      </c>
    </row>
    <row r="101" spans="1:61" ht="15">
      <c r="A101" s="49">
        <v>62</v>
      </c>
      <c r="B101">
        <v>8.85334770954071</v>
      </c>
      <c r="C101">
        <v>5.136499093999431</v>
      </c>
      <c r="D101">
        <v>0.5465953846384234</v>
      </c>
      <c r="E101">
        <v>0.5091573445946959</v>
      </c>
      <c r="F101">
        <v>0.7038351528220794</v>
      </c>
      <c r="G101">
        <v>0.696347544813334</v>
      </c>
      <c r="H101">
        <v>1.0108270811806461</v>
      </c>
      <c r="I101">
        <v>1.055752729233119</v>
      </c>
      <c r="J101">
        <v>1.1605792413555565</v>
      </c>
      <c r="K101">
        <v>1.235455321443012</v>
      </c>
      <c r="L101">
        <v>2.684792918115713</v>
      </c>
      <c r="M101">
        <v>0.5469490989566868</v>
      </c>
      <c r="N101" s="51"/>
      <c r="O101" s="49">
        <v>62</v>
      </c>
      <c r="P101" s="50">
        <v>10.140215021426961</v>
      </c>
      <c r="Q101" s="50">
        <v>5.800002506077238</v>
      </c>
      <c r="R101" s="50">
        <v>0.6343488135327746</v>
      </c>
      <c r="S101" s="50">
        <v>0.5951914793640849</v>
      </c>
      <c r="T101" s="50">
        <v>0.8144725507087477</v>
      </c>
      <c r="U101" s="50">
        <v>0.8066410838750098</v>
      </c>
      <c r="V101" s="50">
        <v>1.1668885582269557</v>
      </c>
      <c r="W101" s="50">
        <v>1.2217088260631215</v>
      </c>
      <c r="X101" s="50">
        <v>1.3391808285691909</v>
      </c>
      <c r="Y101" s="50">
        <v>1.4253269637403085</v>
      </c>
      <c r="Z101" s="50">
        <v>3.037715943557959</v>
      </c>
      <c r="AA101" s="50">
        <v>0.36924699986812604</v>
      </c>
      <c r="AB101" s="51"/>
      <c r="AC101" s="49">
        <v>62</v>
      </c>
      <c r="AD101" s="50">
        <v>11.936759140916722</v>
      </c>
      <c r="AE101" s="50">
        <v>6.565922361727189</v>
      </c>
      <c r="AF101" s="50">
        <v>0.6891690813689404</v>
      </c>
      <c r="AG101" s="50">
        <v>0.6421802803665125</v>
      </c>
      <c r="AH101" s="50">
        <v>0.9006186858798652</v>
      </c>
      <c r="AI101" s="50">
        <v>0.8927872190461272</v>
      </c>
      <c r="AJ101" s="50">
        <v>1.323517894901715</v>
      </c>
      <c r="AK101" s="50">
        <v>1.3940010964053569</v>
      </c>
      <c r="AL101" s="50">
        <v>1.5427989662463777</v>
      </c>
      <c r="AM101" s="50">
        <v>1.6446080350849712</v>
      </c>
      <c r="AN101" s="50">
        <v>3.158380588157721</v>
      </c>
      <c r="AO101" s="50">
        <v>0.3705657391533694</v>
      </c>
      <c r="AP101" s="51"/>
      <c r="AQ101" s="49">
        <v>62</v>
      </c>
      <c r="AR101" s="50">
        <v>14.18596346139388</v>
      </c>
      <c r="AS101" s="50">
        <v>7.47750795679523</v>
      </c>
      <c r="AT101" s="50">
        <v>0.751820816038844</v>
      </c>
      <c r="AU101" s="50">
        <v>0.7048320150364163</v>
      </c>
      <c r="AV101" s="50">
        <v>0.9945962878847208</v>
      </c>
      <c r="AW101" s="50">
        <v>0.9867648210509828</v>
      </c>
      <c r="AX101" s="50">
        <v>1.5114730989114258</v>
      </c>
      <c r="AY101" s="50">
        <v>1.5897877672488054</v>
      </c>
      <c r="AZ101" s="50">
        <v>1.7855744380922545</v>
      </c>
      <c r="BA101" s="50">
        <v>1.9108779074320619</v>
      </c>
      <c r="BB101" s="50">
        <v>3.2849795595410787</v>
      </c>
      <c r="BC101" s="50">
        <v>0.371225108795991</v>
      </c>
      <c r="BD101" s="35"/>
      <c r="BE101" s="49">
        <v>62</v>
      </c>
      <c r="BF101" s="52">
        <f t="shared" si="5"/>
        <v>3.7527986303173977</v>
      </c>
      <c r="BG101" s="55">
        <v>15166</v>
      </c>
      <c r="BH101" s="56">
        <v>56.91494402739365</v>
      </c>
      <c r="BI101" s="56">
        <f t="shared" si="6"/>
        <v>58.90696706835242</v>
      </c>
    </row>
    <row r="102" spans="1:61" ht="15">
      <c r="A102" s="49">
        <v>63</v>
      </c>
      <c r="B102">
        <v>9.628464890606047</v>
      </c>
      <c r="C102">
        <v>5.33896401455591</v>
      </c>
      <c r="D102">
        <v>0.5480929062401725</v>
      </c>
      <c r="E102">
        <v>0.5121523877981939</v>
      </c>
      <c r="F102">
        <v>0.7008401096185812</v>
      </c>
      <c r="G102">
        <v>0.7008401096185812</v>
      </c>
      <c r="H102">
        <v>1.0063345163753987</v>
      </c>
      <c r="I102">
        <v>1.0602452940383664</v>
      </c>
      <c r="J102">
        <v>1.1590817197538075</v>
      </c>
      <c r="K102">
        <v>1.2309627566377646</v>
      </c>
      <c r="L102">
        <v>2.6734113183686374</v>
      </c>
      <c r="M102">
        <v>0.19032564021498577</v>
      </c>
      <c r="N102" s="51"/>
      <c r="O102" s="49">
        <v>63</v>
      </c>
      <c r="P102" s="50">
        <v>11.183369671453276</v>
      </c>
      <c r="Q102" s="50">
        <v>6.046537854296671</v>
      </c>
      <c r="R102" s="50">
        <v>0.629651905871739</v>
      </c>
      <c r="S102" s="50">
        <v>0.5920607473122322</v>
      </c>
      <c r="T102" s="50">
        <v>0.8082099090293963</v>
      </c>
      <c r="U102" s="50">
        <v>0.8082099090293963</v>
      </c>
      <c r="V102" s="50">
        <v>1.165325915344711</v>
      </c>
      <c r="W102" s="50">
        <v>1.2217126531839713</v>
      </c>
      <c r="X102" s="50">
        <v>1.3344861288624916</v>
      </c>
      <c r="Y102" s="50">
        <v>1.4284640252612588</v>
      </c>
      <c r="Z102" s="50">
        <v>2.967822761440063</v>
      </c>
      <c r="AA102" s="57">
        <v>0</v>
      </c>
      <c r="AB102" s="51"/>
      <c r="AC102" s="49">
        <v>63</v>
      </c>
      <c r="AD102" s="50">
        <v>13.100518757988123</v>
      </c>
      <c r="AE102" s="50">
        <v>6.813397488910609</v>
      </c>
      <c r="AF102" s="50">
        <v>0.6860386437109992</v>
      </c>
      <c r="AG102" s="50">
        <v>0.6484474851514923</v>
      </c>
      <c r="AH102" s="50">
        <v>0.8927900157882867</v>
      </c>
      <c r="AI102" s="50">
        <v>0.8927900157882867</v>
      </c>
      <c r="AJ102" s="50">
        <v>1.325088339222615</v>
      </c>
      <c r="AK102" s="50">
        <v>1.3908728667017518</v>
      </c>
      <c r="AL102" s="50">
        <v>1.541237500939779</v>
      </c>
      <c r="AM102" s="50">
        <v>1.6446131869784228</v>
      </c>
      <c r="AN102" s="50">
        <v>3.0673875774759334</v>
      </c>
      <c r="AO102" s="57">
        <v>0</v>
      </c>
      <c r="AP102" s="51"/>
      <c r="AQ102" s="49">
        <v>63</v>
      </c>
      <c r="AR102" s="50">
        <v>15.483798210660852</v>
      </c>
      <c r="AS102" s="50">
        <v>7.721223968122698</v>
      </c>
      <c r="AT102" s="50">
        <v>0.7518231711901362</v>
      </c>
      <c r="AU102" s="50">
        <v>0.7048342229907526</v>
      </c>
      <c r="AV102" s="50">
        <v>0.9961657018269303</v>
      </c>
      <c r="AW102" s="50">
        <v>0.9867679121870537</v>
      </c>
      <c r="AX102" s="50">
        <v>1.513044132020149</v>
      </c>
      <c r="AY102" s="50">
        <v>1.5882264491391627</v>
      </c>
      <c r="AZ102" s="50">
        <v>1.7855800315765733</v>
      </c>
      <c r="BA102" s="50">
        <v>1.9077512968949704</v>
      </c>
      <c r="BB102" s="50">
        <v>3.170249241724911</v>
      </c>
      <c r="BC102" s="57">
        <v>0</v>
      </c>
      <c r="BD102" s="35"/>
      <c r="BE102" s="49">
        <v>63</v>
      </c>
      <c r="BF102" s="52">
        <f t="shared" si="5"/>
        <v>3.581588305017779</v>
      </c>
      <c r="BG102" s="55">
        <v>15166</v>
      </c>
      <c r="BH102" s="56">
        <v>54.31836823389964</v>
      </c>
      <c r="BI102" s="56">
        <f t="shared" si="6"/>
        <v>56.219511122086125</v>
      </c>
    </row>
    <row r="103" spans="1:61" ht="15">
      <c r="A103" s="49">
        <v>64</v>
      </c>
      <c r="B103">
        <v>10.344130464081942</v>
      </c>
      <c r="C103">
        <v>5.498899321622714</v>
      </c>
      <c r="D103">
        <v>0.5503391886427961</v>
      </c>
      <c r="E103">
        <v>0.5166449526034413</v>
      </c>
      <c r="F103">
        <v>0.7075789568264522</v>
      </c>
      <c r="G103">
        <v>0.6963475448133339</v>
      </c>
      <c r="H103">
        <v>1.0108270811806461</v>
      </c>
      <c r="I103">
        <v>1.055752729233119</v>
      </c>
      <c r="J103">
        <v>1.1568354373511838</v>
      </c>
      <c r="K103">
        <v>1.235455321443012</v>
      </c>
      <c r="L103">
        <v>2.4950995889977867</v>
      </c>
      <c r="M103">
        <v>0</v>
      </c>
      <c r="N103" s="51"/>
      <c r="O103" s="49">
        <v>64</v>
      </c>
      <c r="P103" s="50">
        <v>12.076159687241562</v>
      </c>
      <c r="Q103" s="50">
        <v>6.256578452747914</v>
      </c>
      <c r="R103" s="50">
        <v>0.6343537814533751</v>
      </c>
      <c r="S103" s="50">
        <v>0.5873646124568287</v>
      </c>
      <c r="T103" s="50">
        <v>0.8105631651904236</v>
      </c>
      <c r="U103" s="50">
        <v>0.8105631651904236</v>
      </c>
      <c r="V103" s="50">
        <v>1.162981932664521</v>
      </c>
      <c r="W103" s="50">
        <v>1.2217183939102039</v>
      </c>
      <c r="X103" s="50">
        <v>1.3391913164015694</v>
      </c>
      <c r="Y103" s="50">
        <v>1.4214223621455255</v>
      </c>
      <c r="Z103" s="50">
        <v>2.8702360543320586</v>
      </c>
      <c r="AA103" s="57">
        <v>0</v>
      </c>
      <c r="AB103" s="51"/>
      <c r="AC103" s="49">
        <v>64</v>
      </c>
      <c r="AD103" s="50">
        <v>14.075539433125329</v>
      </c>
      <c r="AE103" s="50">
        <v>7.017799413577927</v>
      </c>
      <c r="AF103" s="50">
        <v>0.6813429504499213</v>
      </c>
      <c r="AG103" s="50">
        <v>0.6461010737025116</v>
      </c>
      <c r="AH103" s="50">
        <v>0.8927942109343797</v>
      </c>
      <c r="AI103" s="50">
        <v>0.8927942109343797</v>
      </c>
      <c r="AJ103" s="50">
        <v>1.3274440241524328</v>
      </c>
      <c r="AK103" s="50">
        <v>1.3861804853981157</v>
      </c>
      <c r="AL103" s="50">
        <v>1.5388952846368913</v>
      </c>
      <c r="AM103" s="50">
        <v>1.6446209148791202</v>
      </c>
      <c r="AN103" s="50">
        <v>2.9513385203745215</v>
      </c>
      <c r="AO103" s="57">
        <v>0</v>
      </c>
      <c r="AP103" s="51"/>
      <c r="AQ103" s="49">
        <v>64</v>
      </c>
      <c r="AR103" s="50">
        <v>16.5471581084129</v>
      </c>
      <c r="AS103" s="50">
        <v>7.912938876776183</v>
      </c>
      <c r="AT103" s="50">
        <v>0.7518267039447407</v>
      </c>
      <c r="AU103" s="50">
        <v>0.7048375349481943</v>
      </c>
      <c r="AV103" s="50">
        <v>0.9867725489274721</v>
      </c>
      <c r="AW103" s="50">
        <v>0.9867725489274721</v>
      </c>
      <c r="AX103" s="50">
        <v>1.5154007001386183</v>
      </c>
      <c r="AY103" s="50">
        <v>1.5858844536334376</v>
      </c>
      <c r="AZ103" s="50">
        <v>1.7855884218687594</v>
      </c>
      <c r="BA103" s="50">
        <v>1.9030613443601252</v>
      </c>
      <c r="BB103" s="50">
        <v>3.0357378346300936</v>
      </c>
      <c r="BC103" s="57">
        <v>0</v>
      </c>
      <c r="BD103" s="35"/>
      <c r="BE103" s="49">
        <v>64</v>
      </c>
      <c r="BF103" s="52">
        <f t="shared" si="5"/>
        <v>3.4959831423679706</v>
      </c>
      <c r="BG103" s="55">
        <v>15166</v>
      </c>
      <c r="BH103" s="56">
        <v>53.02008033715264</v>
      </c>
      <c r="BI103" s="56">
        <f t="shared" si="6"/>
        <v>54.87578314895298</v>
      </c>
    </row>
    <row r="104" spans="1:61" ht="15">
      <c r="A104" s="49">
        <v>65</v>
      </c>
      <c r="B104">
        <v>11.33024843883373</v>
      </c>
      <c r="C104">
        <v>5.7774383395480475</v>
      </c>
      <c r="D104">
        <v>0.5540829926471689</v>
      </c>
      <c r="E104">
        <v>0.5091573445946959</v>
      </c>
      <c r="F104">
        <v>0.7038351528220794</v>
      </c>
      <c r="G104">
        <v>0.7038351528220794</v>
      </c>
      <c r="H104">
        <v>1.0033394731719005</v>
      </c>
      <c r="I104">
        <v>1.0632403372418646</v>
      </c>
      <c r="J104">
        <v>1.153091633346811</v>
      </c>
      <c r="K104">
        <v>1.2279677134342664</v>
      </c>
      <c r="L104">
        <v>2.3964590578564655</v>
      </c>
      <c r="M104">
        <v>0</v>
      </c>
      <c r="N104" s="51"/>
      <c r="O104" s="49">
        <v>65</v>
      </c>
      <c r="P104" s="50">
        <v>13.2571485853194</v>
      </c>
      <c r="Q104" s="50">
        <v>6.450016289502043</v>
      </c>
      <c r="R104" s="50">
        <v>0.6265173466990367</v>
      </c>
      <c r="S104" s="50">
        <v>0.5951914793640849</v>
      </c>
      <c r="T104" s="50">
        <v>0.8144725507087477</v>
      </c>
      <c r="U104" s="50">
        <v>0.8144725507087477</v>
      </c>
      <c r="V104" s="50">
        <v>1.1590570913932179</v>
      </c>
      <c r="W104" s="50">
        <v>1.2217088260631215</v>
      </c>
      <c r="X104" s="50">
        <v>1.3313493617354528</v>
      </c>
      <c r="Y104" s="50">
        <v>1.4253269637403085</v>
      </c>
      <c r="Z104" s="50">
        <v>2.6341817222735067</v>
      </c>
      <c r="AA104" s="57">
        <v>0</v>
      </c>
      <c r="AB104" s="51"/>
      <c r="AC104" s="49">
        <v>65</v>
      </c>
      <c r="AD104" s="50">
        <v>15.374783850838282</v>
      </c>
      <c r="AE104" s="50">
        <v>7.2049720572388045</v>
      </c>
      <c r="AF104" s="50">
        <v>0.6891690813689404</v>
      </c>
      <c r="AG104" s="50">
        <v>0.6421802803665125</v>
      </c>
      <c r="AH104" s="50">
        <v>0.8927872190461272</v>
      </c>
      <c r="AI104" s="50">
        <v>0.8927872190461272</v>
      </c>
      <c r="AJ104" s="50">
        <v>1.3313493617354528</v>
      </c>
      <c r="AK104" s="50">
        <v>1.3940010964053569</v>
      </c>
      <c r="AL104" s="50">
        <v>1.5349674994126399</v>
      </c>
      <c r="AM104" s="50">
        <v>1.6446080350849712</v>
      </c>
      <c r="AN104" s="50">
        <v>2.692206250824212</v>
      </c>
      <c r="AO104" s="57">
        <v>0</v>
      </c>
      <c r="AP104" s="51"/>
      <c r="AQ104" s="49">
        <v>65</v>
      </c>
      <c r="AR104" s="50">
        <v>17.97797158108413</v>
      </c>
      <c r="AS104" s="50">
        <v>8.085231686840588</v>
      </c>
      <c r="AT104" s="50">
        <v>0.751820816038844</v>
      </c>
      <c r="AU104" s="50">
        <v>0.7048320150364163</v>
      </c>
      <c r="AV104" s="50">
        <v>0.9867648210509828</v>
      </c>
      <c r="AW104" s="50">
        <v>0.9867648210509828</v>
      </c>
      <c r="AX104" s="50">
        <v>1.503641632077688</v>
      </c>
      <c r="AY104" s="50">
        <v>1.5819563004150676</v>
      </c>
      <c r="AZ104" s="50">
        <v>1.7855744380922545</v>
      </c>
      <c r="BA104" s="50">
        <v>1.9108779074320619</v>
      </c>
      <c r="BB104" s="50">
        <v>2.751549518660161</v>
      </c>
      <c r="BC104" s="57">
        <v>0</v>
      </c>
      <c r="BD104" s="35"/>
      <c r="BE104" s="49">
        <v>65</v>
      </c>
      <c r="BF104" s="52">
        <f t="shared" si="5"/>
        <v>3.1930725668378765</v>
      </c>
      <c r="BG104" s="55">
        <v>15166</v>
      </c>
      <c r="BH104" s="56">
        <v>48.42613854866324</v>
      </c>
      <c r="BI104" s="56">
        <f t="shared" si="6"/>
        <v>50.12105339786645</v>
      </c>
    </row>
    <row r="105" spans="1:61" ht="15">
      <c r="A105" s="49">
        <v>66</v>
      </c>
      <c r="B105">
        <v>12.255716788714677</v>
      </c>
      <c r="C105">
        <v>5.9796037557841775</v>
      </c>
      <c r="D105">
        <v>0.5391077766296778</v>
      </c>
      <c r="E105">
        <v>0.5166449526034413</v>
      </c>
      <c r="F105">
        <v>0.6963475448133339</v>
      </c>
      <c r="G105">
        <v>0.6963475448133339</v>
      </c>
      <c r="H105">
        <v>1.0108270811806461</v>
      </c>
      <c r="I105">
        <v>1.055752729233119</v>
      </c>
      <c r="J105">
        <v>1.168066849364302</v>
      </c>
      <c r="K105">
        <v>1.235455321443012</v>
      </c>
      <c r="L105">
        <v>2.0822004426177676</v>
      </c>
      <c r="M105">
        <v>0</v>
      </c>
      <c r="N105" s="51"/>
      <c r="O105" s="49">
        <v>66</v>
      </c>
      <c r="P105" s="50">
        <v>14.38801593865123</v>
      </c>
      <c r="Q105" s="50">
        <v>6.757010751071349</v>
      </c>
      <c r="R105" s="50">
        <v>0.6343537814533751</v>
      </c>
      <c r="S105" s="50">
        <v>0.5873646124568287</v>
      </c>
      <c r="T105" s="50">
        <v>0.8223104574395601</v>
      </c>
      <c r="U105" s="50">
        <v>0.7988158729412871</v>
      </c>
      <c r="V105" s="50">
        <v>1.1747292249136574</v>
      </c>
      <c r="W105" s="50">
        <v>1.2217183939102039</v>
      </c>
      <c r="X105" s="50">
        <v>1.3391913164015694</v>
      </c>
      <c r="Y105" s="50">
        <v>1.433169654394662</v>
      </c>
      <c r="Z105" s="50">
        <v>2.3987867598575763</v>
      </c>
      <c r="AA105" s="57">
        <v>0</v>
      </c>
      <c r="AB105" s="51"/>
      <c r="AC105" s="49">
        <v>66</v>
      </c>
      <c r="AD105" s="50">
        <v>16.61059318848207</v>
      </c>
      <c r="AE105" s="50">
        <v>7.5135328170814235</v>
      </c>
      <c r="AF105" s="50">
        <v>0.6813429504499213</v>
      </c>
      <c r="AG105" s="50">
        <v>0.6343537814533751</v>
      </c>
      <c r="AH105" s="50">
        <v>0.8927942109343797</v>
      </c>
      <c r="AI105" s="50">
        <v>0.8927942109343797</v>
      </c>
      <c r="AJ105" s="50">
        <v>1.3156967319032966</v>
      </c>
      <c r="AK105" s="50">
        <v>1.3861804853981157</v>
      </c>
      <c r="AL105" s="50">
        <v>1.550642576886028</v>
      </c>
      <c r="AM105" s="50">
        <v>1.6446209148791202</v>
      </c>
      <c r="AN105" s="50">
        <v>2.4396676777001187</v>
      </c>
      <c r="AO105" s="57">
        <v>0</v>
      </c>
      <c r="AP105" s="51"/>
      <c r="AQ105" s="49">
        <v>66</v>
      </c>
      <c r="AR105" s="50">
        <v>19.31715660476656</v>
      </c>
      <c r="AS105" s="50">
        <v>8.392226148409895</v>
      </c>
      <c r="AT105" s="50">
        <v>0.7518267039447407</v>
      </c>
      <c r="AU105" s="50">
        <v>0.7048375349481943</v>
      </c>
      <c r="AV105" s="50">
        <v>0.9867725489274721</v>
      </c>
      <c r="AW105" s="50">
        <v>0.9867725489274721</v>
      </c>
      <c r="AX105" s="50">
        <v>1.5036534078894814</v>
      </c>
      <c r="AY105" s="50">
        <v>1.5976317458825742</v>
      </c>
      <c r="AZ105" s="50">
        <v>1.7855884218687594</v>
      </c>
      <c r="BA105" s="50">
        <v>1.9030613443601252</v>
      </c>
      <c r="BB105" s="50">
        <v>2.480548595542661</v>
      </c>
      <c r="BC105" s="57">
        <v>0</v>
      </c>
      <c r="BD105" s="35"/>
      <c r="BE105" s="49">
        <v>66</v>
      </c>
      <c r="BF105" s="52">
        <f t="shared" si="5"/>
        <v>2.884893981298564</v>
      </c>
      <c r="BG105" s="55">
        <v>15166</v>
      </c>
      <c r="BH105" s="56">
        <v>43.752302120374026</v>
      </c>
      <c r="BI105" s="56">
        <f t="shared" si="6"/>
        <v>45.28363269458711</v>
      </c>
    </row>
    <row r="106" spans="1:61" ht="15">
      <c r="A106" s="49">
        <v>67</v>
      </c>
      <c r="B106">
        <v>13.109304101711666</v>
      </c>
      <c r="C106">
        <v>6.118873264746844</v>
      </c>
      <c r="D106">
        <v>0.5391077766296778</v>
      </c>
      <c r="E106">
        <v>0.49418212857720467</v>
      </c>
      <c r="F106">
        <v>0.7188103688395705</v>
      </c>
      <c r="G106">
        <v>0.7188103688395705</v>
      </c>
      <c r="H106">
        <v>0.9883642571544093</v>
      </c>
      <c r="I106">
        <v>1.0782155532593556</v>
      </c>
      <c r="J106">
        <v>1.168066849364302</v>
      </c>
      <c r="K106">
        <v>1.2129924974167752</v>
      </c>
      <c r="L106">
        <v>1.7748972494467277</v>
      </c>
      <c r="M106">
        <v>0</v>
      </c>
      <c r="N106" s="51"/>
      <c r="O106" s="49">
        <v>67</v>
      </c>
      <c r="P106" s="50">
        <v>15.421772799037669</v>
      </c>
      <c r="Q106" s="50">
        <v>6.794601909630856</v>
      </c>
      <c r="R106" s="50">
        <v>0.6108448454092661</v>
      </c>
      <c r="S106" s="50">
        <v>0.6108448454092661</v>
      </c>
      <c r="T106" s="50">
        <v>0.7987971055351941</v>
      </c>
      <c r="U106" s="50">
        <v>0.7987971055351941</v>
      </c>
      <c r="V106" s="50">
        <v>1.1747016257870502</v>
      </c>
      <c r="W106" s="50">
        <v>1.2216896908185322</v>
      </c>
      <c r="X106" s="50">
        <v>1.3156658208814962</v>
      </c>
      <c r="Y106" s="50">
        <v>1.40964195094446</v>
      </c>
      <c r="Z106" s="50">
        <v>1.6827113279704602</v>
      </c>
      <c r="AA106" s="57">
        <v>0</v>
      </c>
      <c r="AB106" s="51"/>
      <c r="AC106" s="49">
        <v>67</v>
      </c>
      <c r="AD106" s="50">
        <v>17.714833471167584</v>
      </c>
      <c r="AE106" s="50">
        <v>7.518231711901361</v>
      </c>
      <c r="AF106" s="50">
        <v>0.70482097547223</v>
      </c>
      <c r="AG106" s="50">
        <v>0.6578329104407481</v>
      </c>
      <c r="AH106" s="50">
        <v>0.8927732355981581</v>
      </c>
      <c r="AI106" s="50">
        <v>0.8927732355981581</v>
      </c>
      <c r="AJ106" s="50">
        <v>1.3156658208814962</v>
      </c>
      <c r="AK106" s="50">
        <v>1.40964195094446</v>
      </c>
      <c r="AL106" s="50">
        <v>1.5506061460389062</v>
      </c>
      <c r="AM106" s="50">
        <v>1.64458227610187</v>
      </c>
      <c r="AN106" s="50">
        <v>1.6978768297507583</v>
      </c>
      <c r="AO106" s="57">
        <v>0</v>
      </c>
      <c r="AP106" s="51"/>
      <c r="AQ106" s="49">
        <v>67</v>
      </c>
      <c r="AR106" s="50">
        <v>20.496579204571088</v>
      </c>
      <c r="AS106" s="50">
        <v>8.354634989850389</v>
      </c>
      <c r="AT106" s="50">
        <v>0.7518090405037121</v>
      </c>
      <c r="AU106" s="50">
        <v>0.70482097547223</v>
      </c>
      <c r="AV106" s="50">
        <v>0.9867493656611221</v>
      </c>
      <c r="AW106" s="50">
        <v>0.9867493656611221</v>
      </c>
      <c r="AX106" s="50">
        <v>1.5036180810074242</v>
      </c>
      <c r="AY106" s="50">
        <v>1.5975942110703882</v>
      </c>
      <c r="AZ106" s="50">
        <v>1.7855464711963163</v>
      </c>
      <c r="BA106" s="50">
        <v>1.926510666290762</v>
      </c>
      <c r="BB106" s="50">
        <v>1.7130423315310563</v>
      </c>
      <c r="BC106" s="57">
        <v>0</v>
      </c>
      <c r="BD106" s="35"/>
      <c r="BE106" s="49">
        <v>67</v>
      </c>
      <c r="BF106" s="52">
        <f t="shared" si="5"/>
        <v>2.065059923613855</v>
      </c>
      <c r="BG106" s="55">
        <v>15166</v>
      </c>
      <c r="BH106" s="56">
        <v>31.318698801527724</v>
      </c>
      <c r="BI106" s="56">
        <f t="shared" si="6"/>
        <v>32.41485325958119</v>
      </c>
    </row>
    <row r="107" spans="1:61" ht="1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L107" s="36"/>
      <c r="M107" s="3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7"/>
      <c r="BG107" s="35"/>
      <c r="BH107" s="35"/>
      <c r="BI107" s="35"/>
    </row>
    <row r="108" spans="1:61" ht="15">
      <c r="A108" s="35" t="s">
        <v>96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6"/>
      <c r="M108" s="3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7"/>
      <c r="BG108" s="35"/>
      <c r="BH108" s="35"/>
      <c r="BI108" s="35"/>
    </row>
    <row r="109" spans="1:9" ht="12.75">
      <c r="A109" s="1"/>
      <c r="B109" s="26"/>
      <c r="H109" s="1"/>
      <c r="I109" s="26"/>
    </row>
    <row r="110" spans="1:9" ht="12.75">
      <c r="A110" s="1"/>
      <c r="B110" s="26"/>
      <c r="H110" s="1"/>
      <c r="I110" s="26"/>
    </row>
    <row r="111" spans="1:9" ht="12.75">
      <c r="A111" s="1"/>
      <c r="B111" s="26"/>
      <c r="H111" s="1"/>
      <c r="I111" s="26"/>
    </row>
    <row r="112" spans="1:9" ht="12.75">
      <c r="A112" s="1"/>
      <c r="B112" s="26"/>
      <c r="H112" s="1"/>
      <c r="I112" s="26"/>
    </row>
    <row r="113" spans="1:9" ht="12.75">
      <c r="A113" s="1"/>
      <c r="B113" s="26"/>
      <c r="H113" s="1"/>
      <c r="I113" s="26"/>
    </row>
    <row r="114" spans="1:9" ht="12.75">
      <c r="A114" s="1"/>
      <c r="B114" s="26"/>
      <c r="H114" s="1"/>
      <c r="I114" s="26"/>
    </row>
    <row r="115" spans="1:9" ht="12.75">
      <c r="A115" s="1"/>
      <c r="B115" s="26"/>
      <c r="H115" s="1"/>
      <c r="I115" s="26"/>
    </row>
    <row r="116" spans="1:9" ht="12.75">
      <c r="A116" s="1"/>
      <c r="B116" s="26"/>
      <c r="H116" s="1"/>
      <c r="I116" s="26"/>
    </row>
    <row r="117" spans="1:9" ht="12.75">
      <c r="A117" s="1"/>
      <c r="B117" s="26"/>
      <c r="H117" s="1"/>
      <c r="I117" s="26"/>
    </row>
    <row r="118" spans="1:9" ht="12.75">
      <c r="A118" s="1"/>
      <c r="B118" s="26"/>
      <c r="H118" s="1"/>
      <c r="I118" s="26"/>
    </row>
    <row r="119" spans="1:9" ht="12.75">
      <c r="A119" s="1"/>
      <c r="B119" s="26"/>
      <c r="H119" s="1"/>
      <c r="I119" s="26"/>
    </row>
    <row r="120" spans="1:9" ht="12.75">
      <c r="A120" s="1"/>
      <c r="B120" s="26"/>
      <c r="H120" s="1"/>
      <c r="I120" s="26"/>
    </row>
    <row r="121" spans="1:9" ht="12.75">
      <c r="A121" s="1"/>
      <c r="B121" s="26"/>
      <c r="H121" s="1"/>
      <c r="I121" s="26"/>
    </row>
    <row r="122" spans="1:9" ht="12.75">
      <c r="A122" s="1"/>
      <c r="B122" s="26"/>
      <c r="H122" s="1"/>
      <c r="I122" s="26"/>
    </row>
    <row r="123" spans="1:9" ht="12.75">
      <c r="A123" s="1"/>
      <c r="B123" s="26"/>
      <c r="H123" s="1"/>
      <c r="I123" s="26"/>
    </row>
    <row r="124" spans="1:9" ht="12.75">
      <c r="A124" s="1"/>
      <c r="B124" s="26"/>
      <c r="H124" s="1"/>
      <c r="I124" s="26"/>
    </row>
    <row r="125" spans="1:9" ht="12.75">
      <c r="A125" s="1"/>
      <c r="B125" s="26"/>
      <c r="H125" s="1"/>
      <c r="I125" s="26"/>
    </row>
    <row r="126" spans="1:9" ht="12.75">
      <c r="A126" s="1"/>
      <c r="B126" s="26"/>
      <c r="H126" s="1"/>
      <c r="I126" s="26"/>
    </row>
    <row r="127" spans="1:9" ht="12.75">
      <c r="A127" s="1"/>
      <c r="B127" s="26"/>
      <c r="H127" s="1"/>
      <c r="I127" s="26"/>
    </row>
    <row r="128" spans="1:9" ht="12.75">
      <c r="A128" s="1"/>
      <c r="B128" s="26"/>
      <c r="H128" s="1"/>
      <c r="I128" s="26"/>
    </row>
    <row r="129" spans="1:9" ht="12.75">
      <c r="A129" s="1"/>
      <c r="B129" s="26"/>
      <c r="H129" s="1"/>
      <c r="I129" s="26"/>
    </row>
    <row r="130" spans="1:9" ht="12.75">
      <c r="A130" s="1"/>
      <c r="B130" s="26"/>
      <c r="H130" s="1"/>
      <c r="I130" s="26"/>
    </row>
    <row r="131" spans="1:9" ht="12.75">
      <c r="A131" s="1"/>
      <c r="B131" s="26"/>
      <c r="H131" s="1"/>
      <c r="I131" s="26"/>
    </row>
    <row r="132" spans="1:9" ht="12.75">
      <c r="A132" s="1"/>
      <c r="B132" s="26"/>
      <c r="H132" s="1"/>
      <c r="I132" s="26"/>
    </row>
    <row r="133" spans="1:9" ht="12.75">
      <c r="A133" s="1"/>
      <c r="B133" s="26"/>
      <c r="H133" s="1"/>
      <c r="I133" s="26"/>
    </row>
    <row r="134" spans="1:9" ht="12.75">
      <c r="A134" s="1"/>
      <c r="B134" s="26"/>
      <c r="H134" s="1"/>
      <c r="I134" s="26"/>
    </row>
    <row r="135" spans="1:9" ht="12.75">
      <c r="A135" s="1"/>
      <c r="B135" s="26"/>
      <c r="H135" s="1"/>
      <c r="I135" s="26"/>
    </row>
    <row r="136" spans="1:9" ht="12.75">
      <c r="A136" s="1"/>
      <c r="B136" s="26"/>
      <c r="H136" s="1"/>
      <c r="I136" s="26"/>
    </row>
    <row r="137" spans="1:9" ht="12.75">
      <c r="A137" s="1"/>
      <c r="B137" s="26"/>
      <c r="H137" s="1"/>
      <c r="I137" s="26"/>
    </row>
    <row r="138" spans="1:9" ht="12.75">
      <c r="A138" s="1"/>
      <c r="B138" s="26"/>
      <c r="H138" s="1"/>
      <c r="I138" s="26"/>
    </row>
    <row r="139" spans="1:9" ht="12.75">
      <c r="A139" s="1"/>
      <c r="B139" s="26"/>
      <c r="H139" s="1"/>
      <c r="I139" s="26"/>
    </row>
    <row r="140" spans="1:9" ht="12.75">
      <c r="A140" s="1"/>
      <c r="B140" s="26"/>
      <c r="H140" s="1"/>
      <c r="I140" s="26"/>
    </row>
    <row r="141" spans="1:9" ht="12.75">
      <c r="A141" s="1"/>
      <c r="B141" s="26"/>
      <c r="H141" s="1"/>
      <c r="I141" s="26"/>
    </row>
    <row r="142" spans="1:9" ht="12.75">
      <c r="A142" s="1"/>
      <c r="B142" s="26"/>
      <c r="H142" s="1"/>
      <c r="I142" s="26"/>
    </row>
    <row r="143" spans="1:9" ht="12.75">
      <c r="A143" s="1"/>
      <c r="B143" s="26"/>
      <c r="H143" s="1"/>
      <c r="I143" s="26"/>
    </row>
    <row r="144" spans="1:9" ht="12.75">
      <c r="A144" s="1"/>
      <c r="B144" s="26"/>
      <c r="H144" s="1"/>
      <c r="I144" s="26"/>
    </row>
    <row r="145" spans="1:9" ht="12.75">
      <c r="A145" s="1"/>
      <c r="B145" s="26"/>
      <c r="H145" s="1"/>
      <c r="I145" s="26"/>
    </row>
    <row r="146" spans="1:9" ht="12.75">
      <c r="A146" s="1"/>
      <c r="B146" s="26"/>
      <c r="H146" s="1"/>
      <c r="I146" s="26"/>
    </row>
    <row r="147" spans="1:9" ht="12.75">
      <c r="A147" s="1"/>
      <c r="B147" s="26"/>
      <c r="H147" s="1"/>
      <c r="I147" s="26"/>
    </row>
    <row r="148" spans="1:9" ht="12.75">
      <c r="A148" s="1"/>
      <c r="B148" s="26"/>
      <c r="H148" s="1"/>
      <c r="I148" s="26"/>
    </row>
    <row r="149" spans="1:9" ht="12.75">
      <c r="A149" s="1"/>
      <c r="B149" s="26"/>
      <c r="H149" s="1"/>
      <c r="I149" s="26"/>
    </row>
    <row r="150" spans="1:9" ht="12.75">
      <c r="A150" s="1"/>
      <c r="B150" s="26"/>
      <c r="H150" s="1"/>
      <c r="I150" s="26"/>
    </row>
    <row r="151" spans="1:9" ht="12.75">
      <c r="A151" s="1"/>
      <c r="B151" s="26"/>
      <c r="H151" s="1"/>
      <c r="I151" s="26"/>
    </row>
    <row r="152" spans="1:9" ht="12.75">
      <c r="A152" s="1"/>
      <c r="B152" s="26"/>
      <c r="H152" s="1"/>
      <c r="I152" s="26"/>
    </row>
    <row r="153" spans="1:9" ht="12.75">
      <c r="A153" s="1"/>
      <c r="B153" s="26"/>
      <c r="H153" s="1"/>
      <c r="I153" s="26"/>
    </row>
    <row r="154" spans="1:9" ht="12.75">
      <c r="A154" s="1"/>
      <c r="B154" s="26"/>
      <c r="H154" s="1"/>
      <c r="I154" s="26"/>
    </row>
    <row r="155" spans="1:9" ht="12.75">
      <c r="A155" s="1"/>
      <c r="B155" s="26"/>
      <c r="H155" s="1"/>
      <c r="I155" s="26"/>
    </row>
    <row r="156" spans="1:9" ht="12.75">
      <c r="A156" s="1"/>
      <c r="B156" s="26"/>
      <c r="H156" s="1"/>
      <c r="I156" s="26"/>
    </row>
    <row r="157" spans="1:9" ht="12.75">
      <c r="A157" s="1"/>
      <c r="B157" s="26"/>
      <c r="H157" s="1"/>
      <c r="I157" s="26"/>
    </row>
    <row r="158" spans="1:9" ht="12.75">
      <c r="A158" s="1"/>
      <c r="B158" s="26"/>
      <c r="H158" s="1"/>
      <c r="I158" s="26"/>
    </row>
    <row r="159" spans="1:9" ht="12.75">
      <c r="A159" s="1"/>
      <c r="B159" s="26"/>
      <c r="H159" s="1"/>
      <c r="I159" s="26"/>
    </row>
    <row r="160" spans="1:9" ht="12.75">
      <c r="A160" s="1"/>
      <c r="B160" s="26"/>
      <c r="H160" s="1"/>
      <c r="I160" s="26"/>
    </row>
    <row r="161" spans="1:9" ht="12.75">
      <c r="A161" s="1"/>
      <c r="B161" s="26"/>
      <c r="H161" s="1"/>
      <c r="I161" s="26"/>
    </row>
    <row r="162" spans="1:9" ht="12.75">
      <c r="A162" s="1"/>
      <c r="B162" s="26"/>
      <c r="H162" s="1"/>
      <c r="I162" s="26"/>
    </row>
    <row r="163" spans="1:9" ht="12.75">
      <c r="A163" s="1"/>
      <c r="B163" s="26"/>
      <c r="H163" s="1"/>
      <c r="I163" s="26"/>
    </row>
    <row r="164" spans="1:9" ht="12.75">
      <c r="A164" s="1"/>
      <c r="B164" s="26"/>
      <c r="H164" s="1"/>
      <c r="I164" s="26"/>
    </row>
    <row r="165" spans="1:9" ht="12.75">
      <c r="A165" s="1"/>
      <c r="B165" s="26"/>
      <c r="H165" s="1"/>
      <c r="I165" s="26"/>
    </row>
    <row r="166" spans="1:9" ht="12.75">
      <c r="A166" s="1"/>
      <c r="B166" s="26"/>
      <c r="H166" s="1"/>
      <c r="I166" s="26"/>
    </row>
    <row r="167" spans="1:9" ht="12.75">
      <c r="A167" s="1"/>
      <c r="B167" s="26"/>
      <c r="H167" s="1"/>
      <c r="I167" s="26"/>
    </row>
    <row r="168" spans="1:9" ht="12.75">
      <c r="A168" s="1"/>
      <c r="B168" s="26"/>
      <c r="H168" s="1"/>
      <c r="I168" s="26"/>
    </row>
    <row r="169" spans="1:9" ht="12.75">
      <c r="A169" s="1"/>
      <c r="B169" s="26"/>
      <c r="H169" s="1"/>
      <c r="I169" s="26"/>
    </row>
    <row r="170" spans="1:9" ht="12.75">
      <c r="A170" s="1"/>
      <c r="B170" s="26"/>
      <c r="H170" s="1"/>
      <c r="I170" s="26"/>
    </row>
    <row r="171" spans="1:9" ht="12.75">
      <c r="A171" s="1"/>
      <c r="B171" s="26"/>
      <c r="H171" s="1"/>
      <c r="I171" s="26"/>
    </row>
    <row r="172" spans="1:9" ht="12.75">
      <c r="A172" s="1"/>
      <c r="B172" s="26"/>
      <c r="H172" s="1"/>
      <c r="I172" s="26"/>
    </row>
    <row r="173" spans="1:9" ht="12.75">
      <c r="A173" s="1"/>
      <c r="B173" s="26"/>
      <c r="H173" s="1"/>
      <c r="I173" s="26"/>
    </row>
    <row r="174" spans="1:9" ht="12.75">
      <c r="A174" s="1"/>
      <c r="B174" s="26"/>
      <c r="H174" s="1"/>
      <c r="I174" s="26"/>
    </row>
    <row r="175" spans="1:9" ht="12.75">
      <c r="A175" s="1"/>
      <c r="B175" s="26"/>
      <c r="H175" s="1"/>
      <c r="I175" s="26"/>
    </row>
    <row r="176" spans="1:9" ht="12.75">
      <c r="A176" s="1"/>
      <c r="B176" s="26"/>
      <c r="H176" s="1"/>
      <c r="I176" s="26"/>
    </row>
    <row r="177" spans="1:9" ht="12.75">
      <c r="A177" s="1"/>
      <c r="B177" s="26"/>
      <c r="H177" s="1"/>
      <c r="I177" s="26"/>
    </row>
    <row r="178" spans="1:9" ht="12.75">
      <c r="A178" s="1"/>
      <c r="B178" s="26"/>
      <c r="H178" s="1"/>
      <c r="I178" s="26"/>
    </row>
    <row r="179" spans="1:9" ht="12.75">
      <c r="A179" s="1"/>
      <c r="B179" s="26"/>
      <c r="H179" s="1"/>
      <c r="I179" s="26"/>
    </row>
    <row r="180" spans="1:9" ht="12.75">
      <c r="A180" s="1"/>
      <c r="B180" s="26"/>
      <c r="H180" s="1"/>
      <c r="I180" s="26"/>
    </row>
    <row r="181" spans="1:9" ht="12.75">
      <c r="A181" s="1"/>
      <c r="B181" s="26"/>
      <c r="H181" s="1"/>
      <c r="I181" s="26"/>
    </row>
    <row r="182" spans="1:9" ht="12.75">
      <c r="A182" s="1"/>
      <c r="B182" s="26"/>
      <c r="H182" s="1"/>
      <c r="I182" s="26"/>
    </row>
    <row r="183" spans="1:9" ht="12.75">
      <c r="A183" s="1"/>
      <c r="B183" s="26"/>
      <c r="H183" s="1"/>
      <c r="I183" s="26"/>
    </row>
    <row r="184" spans="1:9" ht="12.75">
      <c r="A184" s="1"/>
      <c r="B184" s="26"/>
      <c r="H184" s="1"/>
      <c r="I184" s="26"/>
    </row>
    <row r="185" spans="1:9" ht="12.75">
      <c r="A185" s="1"/>
      <c r="B185" s="26"/>
      <c r="H185" s="1"/>
      <c r="I185" s="26"/>
    </row>
    <row r="186" spans="1:9" ht="12.75">
      <c r="A186" s="1"/>
      <c r="B186" s="26"/>
      <c r="H186" s="1"/>
      <c r="I186" s="26"/>
    </row>
    <row r="187" spans="1:9" ht="12.75">
      <c r="A187" s="1"/>
      <c r="B187" s="26"/>
      <c r="H187" s="1"/>
      <c r="I187" s="26"/>
    </row>
    <row r="188" spans="1:9" ht="12.75">
      <c r="A188" s="1"/>
      <c r="B188" s="26"/>
      <c r="H188" s="1"/>
      <c r="I188" s="26"/>
    </row>
    <row r="189" spans="1:9" ht="12.75">
      <c r="A189" s="1"/>
      <c r="B189" s="26"/>
      <c r="H189" s="1"/>
      <c r="I189" s="26"/>
    </row>
    <row r="190" spans="1:9" ht="12.75">
      <c r="A190" s="1"/>
      <c r="B190" s="26"/>
      <c r="H190" s="1"/>
      <c r="I190" s="26"/>
    </row>
    <row r="191" spans="1:9" ht="12.75">
      <c r="A191" s="1"/>
      <c r="B191" s="26"/>
      <c r="H191" s="1"/>
      <c r="I191" s="26"/>
    </row>
    <row r="192" spans="1:9" ht="12.75">
      <c r="A192" s="1"/>
      <c r="B192" s="26"/>
      <c r="H192" s="1"/>
      <c r="I192" s="26"/>
    </row>
    <row r="193" spans="1:9" ht="12.75">
      <c r="A193" s="1"/>
      <c r="B193" s="26"/>
      <c r="H193" s="1"/>
      <c r="I193" s="26"/>
    </row>
    <row r="194" spans="1:9" ht="12.75">
      <c r="A194" s="1"/>
      <c r="B194" s="26"/>
      <c r="H194" s="1"/>
      <c r="I194" s="26"/>
    </row>
    <row r="195" spans="1:9" ht="12.75">
      <c r="A195" s="1"/>
      <c r="B195" s="26"/>
      <c r="H195" s="1"/>
      <c r="I195" s="26"/>
    </row>
    <row r="196" spans="1:9" ht="12.75">
      <c r="A196" s="1"/>
      <c r="B196" s="26"/>
      <c r="H196" s="1"/>
      <c r="I196" s="26"/>
    </row>
    <row r="197" spans="1:9" ht="12.75">
      <c r="A197" s="1"/>
      <c r="B197" s="26"/>
      <c r="H197" s="1"/>
      <c r="I197" s="26"/>
    </row>
    <row r="198" spans="1:9" ht="12.75">
      <c r="A198" s="1"/>
      <c r="B198" s="26"/>
      <c r="H198" s="1"/>
      <c r="I198" s="26"/>
    </row>
    <row r="199" spans="1:9" ht="12.75">
      <c r="A199" s="1"/>
      <c r="B199" s="26"/>
      <c r="H199" s="1"/>
      <c r="I199" s="26"/>
    </row>
    <row r="200" spans="1:9" ht="12.75">
      <c r="A200" s="1"/>
      <c r="B200" s="26"/>
      <c r="H200" s="1"/>
      <c r="I200" s="26"/>
    </row>
    <row r="201" spans="1:9" ht="12.75">
      <c r="A201" s="1"/>
      <c r="B201" s="26"/>
      <c r="H201" s="1"/>
      <c r="I201" s="26"/>
    </row>
    <row r="202" spans="1:9" ht="12.75">
      <c r="A202" s="1"/>
      <c r="B202" s="26"/>
      <c r="H202" s="1"/>
      <c r="I202" s="26"/>
    </row>
    <row r="203" spans="1:9" ht="12.75">
      <c r="A203" s="1"/>
      <c r="B203" s="26"/>
      <c r="H203" s="1"/>
      <c r="I203" s="26"/>
    </row>
    <row r="204" spans="1:9" ht="12.75">
      <c r="A204" s="1"/>
      <c r="B204" s="26"/>
      <c r="H204" s="1"/>
      <c r="I204" s="26"/>
    </row>
    <row r="205" spans="1:9" ht="12.75">
      <c r="A205" s="1"/>
      <c r="B205" s="26"/>
      <c r="H205" s="1"/>
      <c r="I205" s="26"/>
    </row>
    <row r="206" spans="1:9" ht="12.75">
      <c r="A206" s="1"/>
      <c r="B206" s="26"/>
      <c r="H206" s="1"/>
      <c r="I206" s="26"/>
    </row>
    <row r="207" spans="1:9" ht="12.75">
      <c r="A207" s="1"/>
      <c r="B207" s="26"/>
      <c r="H207" s="1"/>
      <c r="I207" s="26"/>
    </row>
    <row r="208" spans="1:9" ht="12.75">
      <c r="A208" s="1"/>
      <c r="B208" s="26"/>
      <c r="H208" s="1"/>
      <c r="I208" s="26"/>
    </row>
    <row r="209" spans="1:9" ht="12.75">
      <c r="A209" s="1"/>
      <c r="B209" s="26"/>
      <c r="H209" s="1"/>
      <c r="I209" s="26"/>
    </row>
    <row r="210" spans="1:9" ht="12.75">
      <c r="A210" s="1"/>
      <c r="B210" s="26"/>
      <c r="H210" s="1"/>
      <c r="I210" s="26"/>
    </row>
    <row r="211" spans="1:9" ht="12.75">
      <c r="A211" s="1"/>
      <c r="B211" s="26"/>
      <c r="H211" s="1"/>
      <c r="I211" s="26"/>
    </row>
    <row r="212" spans="1:9" ht="12.75">
      <c r="A212" s="1"/>
      <c r="B212" s="26"/>
      <c r="H212" s="1"/>
      <c r="I212" s="26"/>
    </row>
    <row r="213" spans="1:9" ht="12.75">
      <c r="A213" s="1"/>
      <c r="B213" s="26"/>
      <c r="H213" s="1"/>
      <c r="I213" s="26"/>
    </row>
    <row r="214" spans="1:9" ht="12.75">
      <c r="A214" s="1"/>
      <c r="B214" s="26"/>
      <c r="H214" s="1"/>
      <c r="I214" s="26"/>
    </row>
    <row r="215" spans="1:9" ht="12.75">
      <c r="A215" s="1"/>
      <c r="B215" s="26"/>
      <c r="H215" s="1"/>
      <c r="I215" s="26"/>
    </row>
    <row r="216" spans="1:9" ht="12.75">
      <c r="A216" s="1"/>
      <c r="B216" s="26"/>
      <c r="H216" s="1"/>
      <c r="I216" s="26"/>
    </row>
    <row r="217" spans="1:9" ht="12.75">
      <c r="A217" s="1"/>
      <c r="B217" s="26"/>
      <c r="H217" s="1"/>
      <c r="I217" s="26"/>
    </row>
    <row r="218" spans="1:9" ht="12.75">
      <c r="A218" s="1"/>
      <c r="B218" s="26"/>
      <c r="H218" s="1"/>
      <c r="I218" s="26"/>
    </row>
    <row r="219" spans="1:9" ht="12.75">
      <c r="A219" s="1"/>
      <c r="B219" s="26"/>
      <c r="H219" s="1"/>
      <c r="I219" s="26"/>
    </row>
    <row r="220" spans="1:9" ht="12.75">
      <c r="A220" s="1"/>
      <c r="B220" s="26"/>
      <c r="H220" s="1"/>
      <c r="I220" s="26"/>
    </row>
    <row r="221" spans="1:9" ht="12.75">
      <c r="A221" s="1"/>
      <c r="B221" s="26"/>
      <c r="H221" s="1"/>
      <c r="I221" s="26"/>
    </row>
    <row r="222" spans="1:9" ht="12.75">
      <c r="A222" s="1"/>
      <c r="B222" s="26"/>
      <c r="H222" s="1"/>
      <c r="I222" s="26"/>
    </row>
    <row r="223" spans="1:9" ht="12.75">
      <c r="A223" s="1"/>
      <c r="B223" s="26"/>
      <c r="H223" s="1"/>
      <c r="I223" s="26"/>
    </row>
    <row r="224" spans="1:9" ht="12.75">
      <c r="A224" s="1"/>
      <c r="B224" s="26"/>
      <c r="H224" s="1"/>
      <c r="I224" s="26"/>
    </row>
    <row r="225" spans="1:9" ht="12.75">
      <c r="A225" s="1"/>
      <c r="B225" s="26"/>
      <c r="H225" s="1"/>
      <c r="I225" s="26"/>
    </row>
    <row r="226" spans="1:9" ht="12.75">
      <c r="A226" s="1"/>
      <c r="B226" s="26"/>
      <c r="H226" s="1"/>
      <c r="I226" s="26"/>
    </row>
    <row r="227" spans="1:9" ht="12.75">
      <c r="A227" s="1"/>
      <c r="B227" s="26"/>
      <c r="H227" s="1"/>
      <c r="I227" s="26"/>
    </row>
    <row r="228" spans="1:9" ht="12.75">
      <c r="A228" s="1"/>
      <c r="B228" s="26"/>
      <c r="H228" s="1"/>
      <c r="I228" s="26"/>
    </row>
    <row r="229" spans="1:9" ht="12.75">
      <c r="A229" s="1"/>
      <c r="B229" s="26"/>
      <c r="H229" s="1"/>
      <c r="I229" s="26"/>
    </row>
    <row r="230" spans="1:9" ht="12.75">
      <c r="A230" s="1"/>
      <c r="B230" s="26"/>
      <c r="H230" s="1"/>
      <c r="I230" s="26"/>
    </row>
    <row r="231" spans="1:9" ht="12.75">
      <c r="A231" s="1"/>
      <c r="B231" s="26"/>
      <c r="H231" s="1"/>
      <c r="I231" s="26"/>
    </row>
    <row r="232" spans="1:9" ht="12.75">
      <c r="A232" s="1"/>
      <c r="B232" s="26"/>
      <c r="H232" s="1"/>
      <c r="I232" s="26"/>
    </row>
    <row r="233" spans="1:9" ht="12.75">
      <c r="A233" s="1"/>
      <c r="B233" s="26"/>
      <c r="H233" s="1"/>
      <c r="I233" s="26"/>
    </row>
    <row r="234" spans="1:9" ht="12.75">
      <c r="A234" s="1"/>
      <c r="B234" s="26"/>
      <c r="H234" s="1"/>
      <c r="I234" s="26"/>
    </row>
    <row r="235" spans="1:9" ht="12.75">
      <c r="A235" s="1"/>
      <c r="B235" s="26"/>
      <c r="H235" s="1"/>
      <c r="I235" s="26"/>
    </row>
    <row r="236" spans="1:9" ht="12.75">
      <c r="A236" s="1"/>
      <c r="B236" s="26"/>
      <c r="H236" s="1"/>
      <c r="I236" s="26"/>
    </row>
    <row r="237" spans="1:9" ht="12.75">
      <c r="A237" s="1"/>
      <c r="B237" s="26"/>
      <c r="H237" s="1"/>
      <c r="I237" s="26"/>
    </row>
    <row r="238" spans="1:9" ht="12.75">
      <c r="A238" s="1"/>
      <c r="B238" s="26"/>
      <c r="H238" s="1"/>
      <c r="I238" s="26"/>
    </row>
    <row r="239" spans="1:9" ht="12.75">
      <c r="A239" s="1"/>
      <c r="B239" s="26"/>
      <c r="H239" s="1"/>
      <c r="I239" s="26"/>
    </row>
    <row r="240" spans="1:9" ht="12.75">
      <c r="A240" s="1"/>
      <c r="B240" s="26"/>
      <c r="H240" s="1"/>
      <c r="I240" s="26"/>
    </row>
    <row r="241" spans="1:9" ht="12.75">
      <c r="A241" s="1"/>
      <c r="B241" s="26"/>
      <c r="H241" s="1"/>
      <c r="I241" s="26"/>
    </row>
    <row r="242" spans="1:9" ht="12.75">
      <c r="A242" s="1"/>
      <c r="B242" s="26"/>
      <c r="H242" s="1"/>
      <c r="I242" s="26"/>
    </row>
    <row r="243" spans="1:9" ht="12.75">
      <c r="A243" s="1"/>
      <c r="B243" s="26"/>
      <c r="H243" s="1"/>
      <c r="I243" s="26"/>
    </row>
    <row r="244" spans="1:9" ht="12.75">
      <c r="A244" s="1"/>
      <c r="B244" s="26"/>
      <c r="H244" s="1"/>
      <c r="I244" s="26"/>
    </row>
    <row r="245" spans="1:9" ht="12.75">
      <c r="A245" s="1"/>
      <c r="B245" s="26"/>
      <c r="H245" s="1"/>
      <c r="I245" s="26"/>
    </row>
    <row r="246" spans="1:9" ht="12.75">
      <c r="A246" s="1"/>
      <c r="B246" s="26"/>
      <c r="H246" s="1"/>
      <c r="I246" s="26"/>
    </row>
    <row r="247" spans="1:9" ht="12.75">
      <c r="A247" s="1"/>
      <c r="B247" s="26"/>
      <c r="H247" s="1"/>
      <c r="I247" s="26"/>
    </row>
    <row r="248" spans="1:9" ht="12.75">
      <c r="A248" s="1"/>
      <c r="B248" s="26"/>
      <c r="H248" s="1"/>
      <c r="I248" s="26"/>
    </row>
    <row r="249" spans="1:9" ht="12.75">
      <c r="A249" s="1"/>
      <c r="B249" s="26"/>
      <c r="H249" s="1"/>
      <c r="I249" s="26"/>
    </row>
    <row r="250" spans="1:9" ht="12.75">
      <c r="A250" s="1"/>
      <c r="B250" s="26"/>
      <c r="H250" s="1"/>
      <c r="I250" s="26"/>
    </row>
    <row r="251" spans="1:9" ht="12.75">
      <c r="A251" s="1"/>
      <c r="B251" s="26"/>
      <c r="H251" s="1"/>
      <c r="I251" s="26"/>
    </row>
    <row r="252" spans="1:9" ht="12.75">
      <c r="A252" s="1"/>
      <c r="B252" s="26"/>
      <c r="H252" s="1"/>
      <c r="I252" s="26"/>
    </row>
    <row r="253" spans="1:9" ht="12.75">
      <c r="A253" s="1"/>
      <c r="B253" s="26"/>
      <c r="H253" s="1"/>
      <c r="I253" s="26"/>
    </row>
    <row r="254" spans="1:9" ht="12.75">
      <c r="A254" s="1"/>
      <c r="B254" s="26"/>
      <c r="H254" s="1"/>
      <c r="I254" s="26"/>
    </row>
    <row r="255" spans="1:9" ht="12.75">
      <c r="A255" s="1"/>
      <c r="B255" s="26"/>
      <c r="H255" s="1"/>
      <c r="I255" s="26"/>
    </row>
    <row r="256" spans="1:9" ht="12.75">
      <c r="A256" s="1"/>
      <c r="B256" s="26"/>
      <c r="H256" s="1"/>
      <c r="I256" s="26"/>
    </row>
    <row r="257" spans="1:9" ht="12.75">
      <c r="A257" s="1"/>
      <c r="B257" s="26"/>
      <c r="H257" s="1"/>
      <c r="I257" s="26"/>
    </row>
    <row r="258" spans="1:9" ht="12.75">
      <c r="A258" s="1"/>
      <c r="B258" s="26"/>
      <c r="H258" s="1"/>
      <c r="I258" s="26"/>
    </row>
    <row r="259" spans="1:9" ht="12.75">
      <c r="A259" s="1"/>
      <c r="B259" s="26"/>
      <c r="H259" s="1"/>
      <c r="I259" s="26"/>
    </row>
    <row r="260" spans="1:9" ht="12.75">
      <c r="A260" s="1"/>
      <c r="B260" s="26"/>
      <c r="H260" s="1"/>
      <c r="I260" s="26"/>
    </row>
    <row r="261" spans="1:9" ht="12.75">
      <c r="A261" s="1"/>
      <c r="B261" s="26"/>
      <c r="H261" s="1"/>
      <c r="I261" s="26"/>
    </row>
    <row r="262" spans="1:9" ht="12.75">
      <c r="A262" s="1"/>
      <c r="B262" s="26"/>
      <c r="H262" s="1"/>
      <c r="I262" s="26"/>
    </row>
    <row r="263" spans="1:9" ht="12.75">
      <c r="A263" s="1"/>
      <c r="B263" s="26"/>
      <c r="H263" s="1"/>
      <c r="I263" s="26"/>
    </row>
    <row r="264" spans="1:9" ht="12.75">
      <c r="A264" s="1"/>
      <c r="B264" s="26"/>
      <c r="H264" s="1"/>
      <c r="I264" s="26"/>
    </row>
    <row r="265" spans="1:9" ht="12.75">
      <c r="A265" s="1"/>
      <c r="B265" s="26"/>
      <c r="H265" s="1"/>
      <c r="I265" s="26"/>
    </row>
    <row r="266" spans="1:9" ht="12.75">
      <c r="A266" s="1"/>
      <c r="B266" s="26"/>
      <c r="H266" s="1"/>
      <c r="I266" s="26"/>
    </row>
    <row r="267" spans="1:9" ht="12.75">
      <c r="A267" s="1"/>
      <c r="B267" s="26"/>
      <c r="H267" s="1"/>
      <c r="I267" s="26"/>
    </row>
    <row r="268" spans="1:9" ht="12.75">
      <c r="A268" s="1"/>
      <c r="B268" s="26"/>
      <c r="H268" s="1"/>
      <c r="I268" s="26"/>
    </row>
    <row r="269" spans="1:9" ht="12.75">
      <c r="A269" s="1"/>
      <c r="B269" s="26"/>
      <c r="H269" s="1"/>
      <c r="I269" s="26"/>
    </row>
    <row r="270" spans="1:9" ht="12.75">
      <c r="A270" s="1"/>
      <c r="B270" s="26"/>
      <c r="H270" s="1"/>
      <c r="I270" s="26"/>
    </row>
    <row r="271" spans="1:9" ht="12.75">
      <c r="A271" s="1"/>
      <c r="B271" s="26"/>
      <c r="H271" s="1"/>
      <c r="I271" s="26"/>
    </row>
    <row r="272" spans="1:9" ht="12.75">
      <c r="A272" s="1"/>
      <c r="B272" s="26"/>
      <c r="H272" s="1"/>
      <c r="I272" s="26"/>
    </row>
    <row r="273" spans="1:9" ht="12.75">
      <c r="A273" s="1"/>
      <c r="B273" s="26"/>
      <c r="H273" s="1"/>
      <c r="I273" s="26"/>
    </row>
    <row r="274" spans="1:9" ht="12.75">
      <c r="A274" s="1"/>
      <c r="B274" s="26"/>
      <c r="H274" s="1"/>
      <c r="I274" s="26"/>
    </row>
    <row r="275" spans="1:9" ht="12.75">
      <c r="A275" s="1"/>
      <c r="B275" s="26"/>
      <c r="H275" s="1"/>
      <c r="I275" s="26"/>
    </row>
    <row r="276" spans="1:9" ht="12.75">
      <c r="A276" s="1"/>
      <c r="B276" s="26"/>
      <c r="H276" s="1"/>
      <c r="I276" s="26"/>
    </row>
    <row r="277" spans="1:9" ht="12.75">
      <c r="A277" s="1"/>
      <c r="B277" s="26"/>
      <c r="H277" s="1"/>
      <c r="I277" s="26"/>
    </row>
    <row r="278" spans="1:9" ht="12.75">
      <c r="A278" s="1"/>
      <c r="B278" s="26"/>
      <c r="H278" s="1"/>
      <c r="I278" s="26"/>
    </row>
    <row r="279" spans="1:9" ht="12.75">
      <c r="A279" s="1"/>
      <c r="B279" s="26"/>
      <c r="H279" s="1"/>
      <c r="I279" s="26"/>
    </row>
    <row r="280" spans="1:9" ht="12.75">
      <c r="A280" s="1"/>
      <c r="B280" s="26"/>
      <c r="H280" s="1"/>
      <c r="I280" s="26"/>
    </row>
    <row r="281" spans="1:9" ht="12.75">
      <c r="A281" s="1"/>
      <c r="B281" s="26"/>
      <c r="H281" s="1"/>
      <c r="I281" s="26"/>
    </row>
    <row r="282" spans="1:9" ht="12.75">
      <c r="A282" s="1"/>
      <c r="B282" s="26"/>
      <c r="H282" s="1"/>
      <c r="I282" s="26"/>
    </row>
    <row r="283" spans="1:9" ht="12.75">
      <c r="A283" s="1"/>
      <c r="B283" s="26"/>
      <c r="H283" s="1"/>
      <c r="I283" s="26"/>
    </row>
    <row r="284" spans="1:9" ht="12.75">
      <c r="A284" s="1"/>
      <c r="B284" s="26"/>
      <c r="H284" s="1"/>
      <c r="I284" s="26"/>
    </row>
    <row r="285" spans="1:9" ht="12.75">
      <c r="A285" s="1"/>
      <c r="B285" s="26"/>
      <c r="H285" s="1"/>
      <c r="I285" s="26"/>
    </row>
    <row r="286" spans="1:9" ht="12.75">
      <c r="A286" s="1"/>
      <c r="B286" s="26"/>
      <c r="H286" s="1"/>
      <c r="I286" s="26"/>
    </row>
    <row r="287" spans="1:9" ht="12.75">
      <c r="A287" s="1"/>
      <c r="B287" s="26"/>
      <c r="H287" s="1"/>
      <c r="I287" s="26"/>
    </row>
    <row r="288" spans="1:9" ht="12.75">
      <c r="A288" s="1"/>
      <c r="B288" s="26"/>
      <c r="H288" s="1"/>
      <c r="I288" s="26"/>
    </row>
    <row r="289" spans="1:9" ht="12.75">
      <c r="A289" s="1"/>
      <c r="B289" s="26"/>
      <c r="H289" s="1"/>
      <c r="I289" s="26"/>
    </row>
    <row r="290" spans="1:9" ht="12.75">
      <c r="A290" s="1"/>
      <c r="B290" s="26"/>
      <c r="H290" s="1"/>
      <c r="I290" s="26"/>
    </row>
    <row r="291" spans="1:9" ht="12.75">
      <c r="A291" s="1"/>
      <c r="B291" s="26"/>
      <c r="H291" s="1"/>
      <c r="I291" s="26"/>
    </row>
    <row r="292" spans="1:9" ht="12.75">
      <c r="A292" s="1"/>
      <c r="B292" s="26"/>
      <c r="H292" s="1"/>
      <c r="I292" s="26"/>
    </row>
    <row r="293" spans="1:9" ht="12.75">
      <c r="A293" s="1"/>
      <c r="B293" s="26"/>
      <c r="H293" s="1"/>
      <c r="I293" s="26"/>
    </row>
    <row r="294" spans="1:9" ht="12.75">
      <c r="A294" s="1"/>
      <c r="B294" s="26"/>
      <c r="H294" s="1"/>
      <c r="I294" s="26"/>
    </row>
    <row r="295" spans="1:9" ht="12.75">
      <c r="A295" s="1"/>
      <c r="B295" s="26"/>
      <c r="H295" s="1"/>
      <c r="I295" s="26"/>
    </row>
    <row r="296" spans="1:9" ht="12.75">
      <c r="A296" s="1"/>
      <c r="B296" s="26"/>
      <c r="H296" s="1"/>
      <c r="I296" s="26"/>
    </row>
    <row r="297" spans="1:9" ht="12.75">
      <c r="A297" s="1"/>
      <c r="B297" s="26"/>
      <c r="H297" s="1"/>
      <c r="I297" s="26"/>
    </row>
    <row r="298" spans="1:9" ht="12.75">
      <c r="A298" s="1"/>
      <c r="B298" s="26"/>
      <c r="H298" s="1"/>
      <c r="I298" s="26"/>
    </row>
    <row r="299" spans="1:9" ht="12.75">
      <c r="A299" s="1"/>
      <c r="B299" s="26"/>
      <c r="H299" s="1"/>
      <c r="I299" s="26"/>
    </row>
    <row r="300" spans="1:9" ht="12.75">
      <c r="A300" s="1"/>
      <c r="B300" s="26"/>
      <c r="H300" s="1"/>
      <c r="I300" s="26"/>
    </row>
    <row r="301" spans="1:9" ht="12.75">
      <c r="A301" s="1"/>
      <c r="B301" s="26"/>
      <c r="H301" s="1"/>
      <c r="I301" s="26"/>
    </row>
    <row r="302" spans="1:9" ht="12.75">
      <c r="A302" s="1"/>
      <c r="B302" s="26"/>
      <c r="H302" s="1"/>
      <c r="I302" s="26"/>
    </row>
    <row r="303" spans="1:9" ht="12.75">
      <c r="A303" s="1"/>
      <c r="B303" s="26"/>
      <c r="H303" s="1"/>
      <c r="I303" s="26"/>
    </row>
    <row r="304" spans="1:9" ht="12.75">
      <c r="A304" s="1"/>
      <c r="B304" s="26"/>
      <c r="H304" s="1"/>
      <c r="I304" s="26"/>
    </row>
    <row r="305" spans="1:9" ht="12.75">
      <c r="A305" s="1"/>
      <c r="B305" s="26"/>
      <c r="H305" s="1"/>
      <c r="I305" s="26"/>
    </row>
    <row r="306" spans="1:9" ht="12.75">
      <c r="A306" s="1"/>
      <c r="B306" s="26"/>
      <c r="H306" s="1"/>
      <c r="I306" s="26"/>
    </row>
    <row r="307" spans="1:9" ht="12.75">
      <c r="A307" s="1"/>
      <c r="B307" s="26"/>
      <c r="H307" s="1"/>
      <c r="I307" s="26"/>
    </row>
    <row r="308" spans="1:9" ht="12.75">
      <c r="A308" s="1"/>
      <c r="B308" s="26"/>
      <c r="H308" s="1"/>
      <c r="I308" s="26"/>
    </row>
    <row r="309" spans="1:9" ht="12.75">
      <c r="A309" s="1"/>
      <c r="B309" s="26"/>
      <c r="H309" s="1"/>
      <c r="I309" s="26"/>
    </row>
    <row r="310" spans="1:9" ht="12.75">
      <c r="A310" s="1"/>
      <c r="B310" s="26"/>
      <c r="H310" s="1"/>
      <c r="I310" s="26"/>
    </row>
    <row r="311" spans="1:9" ht="12.75">
      <c r="A311" s="1"/>
      <c r="B311" s="26"/>
      <c r="H311" s="1"/>
      <c r="I311" s="26"/>
    </row>
    <row r="312" spans="1:9" ht="12.75">
      <c r="A312" s="1"/>
      <c r="B312" s="26"/>
      <c r="H312" s="1"/>
      <c r="I312" s="26"/>
    </row>
    <row r="313" spans="1:9" ht="12.75">
      <c r="A313" s="1"/>
      <c r="B313" s="26"/>
      <c r="H313" s="1"/>
      <c r="I313" s="26"/>
    </row>
    <row r="314" spans="1:9" ht="12.75">
      <c r="A314" s="1"/>
      <c r="B314" s="26"/>
      <c r="H314" s="1"/>
      <c r="I314" s="26"/>
    </row>
    <row r="315" spans="1:9" ht="12.75">
      <c r="A315" s="1"/>
      <c r="B315" s="26"/>
      <c r="H315" s="1"/>
      <c r="I315" s="26"/>
    </row>
    <row r="316" spans="1:9" ht="12.75">
      <c r="A316" s="1"/>
      <c r="B316" s="26"/>
      <c r="H316" s="1"/>
      <c r="I316" s="26"/>
    </row>
    <row r="317" spans="1:9" ht="12.75">
      <c r="A317" s="1"/>
      <c r="B317" s="26"/>
      <c r="H317" s="1"/>
      <c r="I317" s="26"/>
    </row>
    <row r="318" spans="1:9" ht="12.75">
      <c r="A318" s="1"/>
      <c r="B318" s="26"/>
      <c r="H318" s="1"/>
      <c r="I318" s="26"/>
    </row>
    <row r="319" spans="1:9" ht="12.75">
      <c r="A319" s="1"/>
      <c r="B319" s="26"/>
      <c r="H319" s="1"/>
      <c r="I319" s="26"/>
    </row>
    <row r="320" spans="1:9" ht="12.75">
      <c r="A320" s="1"/>
      <c r="B320" s="26"/>
      <c r="H320" s="1"/>
      <c r="I320" s="26"/>
    </row>
    <row r="321" spans="1:9" ht="12.75">
      <c r="A321" s="1"/>
      <c r="B321" s="26"/>
      <c r="H321" s="1"/>
      <c r="I321" s="26"/>
    </row>
    <row r="322" spans="1:9" ht="12.75">
      <c r="A322" s="1"/>
      <c r="B322" s="26"/>
      <c r="H322" s="1"/>
      <c r="I322" s="26"/>
    </row>
    <row r="323" spans="1:9" ht="12.75">
      <c r="A323" s="1"/>
      <c r="B323" s="26"/>
      <c r="H323" s="1"/>
      <c r="I323" s="26"/>
    </row>
    <row r="324" spans="1:9" ht="12.75">
      <c r="A324" s="1"/>
      <c r="B324" s="26"/>
      <c r="H324" s="1"/>
      <c r="I324" s="26"/>
    </row>
    <row r="325" spans="1:9" ht="12.75">
      <c r="A325" s="1"/>
      <c r="B325" s="26"/>
      <c r="H325" s="1"/>
      <c r="I325" s="26"/>
    </row>
    <row r="326" spans="1:9" ht="12.75">
      <c r="A326" s="1"/>
      <c r="B326" s="26"/>
      <c r="H326" s="1"/>
      <c r="I326" s="26"/>
    </row>
    <row r="327" spans="1:9" ht="12.75">
      <c r="A327" s="1"/>
      <c r="B327" s="26"/>
      <c r="H327" s="1"/>
      <c r="I327" s="26"/>
    </row>
    <row r="328" spans="1:9" ht="12.75">
      <c r="A328" s="1"/>
      <c r="B328" s="26"/>
      <c r="H328" s="1"/>
      <c r="I328" s="26"/>
    </row>
    <row r="329" spans="1:9" ht="12.75">
      <c r="A329" s="1"/>
      <c r="B329" s="26"/>
      <c r="H329" s="1"/>
      <c r="I329" s="26"/>
    </row>
    <row r="330" spans="1:9" ht="12.75">
      <c r="A330" s="1"/>
      <c r="B330" s="26"/>
      <c r="H330" s="1"/>
      <c r="I330" s="26"/>
    </row>
    <row r="331" spans="1:9" ht="12.75">
      <c r="A331" s="1"/>
      <c r="B331" s="26"/>
      <c r="H331" s="1"/>
      <c r="I331" s="26"/>
    </row>
    <row r="332" spans="1:9" ht="12.75">
      <c r="A332" s="1"/>
      <c r="B332" s="26"/>
      <c r="H332" s="1"/>
      <c r="I332" s="26"/>
    </row>
    <row r="333" spans="1:9" ht="12.75">
      <c r="A333" s="1"/>
      <c r="B333" s="26"/>
      <c r="H333" s="1"/>
      <c r="I333" s="26"/>
    </row>
    <row r="334" spans="1:9" ht="12.75">
      <c r="A334" s="1"/>
      <c r="B334" s="26"/>
      <c r="H334" s="1"/>
      <c r="I334" s="26"/>
    </row>
    <row r="335" spans="1:9" ht="12.75">
      <c r="A335" s="1"/>
      <c r="B335" s="26"/>
      <c r="H335" s="1"/>
      <c r="I335" s="26"/>
    </row>
    <row r="336" spans="1:9" ht="12.75">
      <c r="A336" s="1"/>
      <c r="B336" s="26"/>
      <c r="H336" s="1"/>
      <c r="I336" s="26"/>
    </row>
    <row r="337" spans="1:9" ht="12.75">
      <c r="A337" s="1"/>
      <c r="B337" s="26"/>
      <c r="H337" s="1"/>
      <c r="I337" s="26"/>
    </row>
    <row r="338" spans="1:9" ht="12.75">
      <c r="A338" s="1"/>
      <c r="B338" s="26"/>
      <c r="H338" s="1"/>
      <c r="I338" s="26"/>
    </row>
    <row r="339" spans="1:9" ht="12.75">
      <c r="A339" s="1"/>
      <c r="B339" s="26"/>
      <c r="H339" s="1"/>
      <c r="I339" s="26"/>
    </row>
    <row r="340" spans="1:9" ht="12.75">
      <c r="A340" s="1"/>
      <c r="B340" s="26"/>
      <c r="H340" s="1"/>
      <c r="I340" s="26"/>
    </row>
    <row r="341" spans="1:9" ht="12.75">
      <c r="A341" s="1"/>
      <c r="B341" s="26"/>
      <c r="H341" s="1"/>
      <c r="I341" s="26"/>
    </row>
    <row r="342" spans="1:9" ht="12.75">
      <c r="A342" s="1"/>
      <c r="B342" s="26"/>
      <c r="H342" s="1"/>
      <c r="I342" s="26"/>
    </row>
    <row r="343" spans="1:9" ht="12.75">
      <c r="A343" s="1"/>
      <c r="B343" s="26"/>
      <c r="H343" s="1"/>
      <c r="I343" s="26"/>
    </row>
    <row r="344" spans="1:9" ht="12.75">
      <c r="A344" s="1"/>
      <c r="B344" s="26"/>
      <c r="H344" s="1"/>
      <c r="I344" s="26"/>
    </row>
    <row r="345" spans="1:9" ht="12.75">
      <c r="A345" s="1"/>
      <c r="B345" s="26"/>
      <c r="H345" s="1"/>
      <c r="I345" s="26"/>
    </row>
    <row r="346" spans="1:9" ht="12.75">
      <c r="A346" s="1"/>
      <c r="B346" s="26"/>
      <c r="H346" s="1"/>
      <c r="I346" s="26"/>
    </row>
    <row r="347" spans="1:9" ht="12.75">
      <c r="A347" s="1"/>
      <c r="B347" s="26"/>
      <c r="H347" s="1"/>
      <c r="I347" s="26"/>
    </row>
    <row r="348" spans="1:9" ht="12.75">
      <c r="A348" s="1"/>
      <c r="B348" s="26"/>
      <c r="H348" s="1"/>
      <c r="I348" s="26"/>
    </row>
    <row r="349" spans="1:9" ht="12.75">
      <c r="A349" s="1"/>
      <c r="B349" s="26"/>
      <c r="H349" s="1"/>
      <c r="I349" s="26"/>
    </row>
    <row r="350" spans="1:9" ht="12.75">
      <c r="A350" s="1"/>
      <c r="B350" s="26"/>
      <c r="H350" s="1"/>
      <c r="I350" s="26"/>
    </row>
    <row r="351" spans="1:9" ht="12.75">
      <c r="A351" s="1"/>
      <c r="B351" s="26"/>
      <c r="H351" s="1"/>
      <c r="I351" s="26"/>
    </row>
    <row r="352" spans="1:9" ht="12.75">
      <c r="A352" s="1"/>
      <c r="B352" s="26"/>
      <c r="H352" s="1"/>
      <c r="I352" s="26"/>
    </row>
    <row r="353" spans="1:9" ht="12.75">
      <c r="A353" s="1"/>
      <c r="B353" s="26"/>
      <c r="H353" s="1"/>
      <c r="I353" s="26"/>
    </row>
    <row r="354" spans="1:9" ht="12.75">
      <c r="A354" s="1"/>
      <c r="B354" s="26"/>
      <c r="H354" s="1"/>
      <c r="I354" s="26"/>
    </row>
    <row r="355" spans="1:9" ht="12.75">
      <c r="A355" s="1"/>
      <c r="B355" s="26"/>
      <c r="H355" s="1"/>
      <c r="I355" s="26"/>
    </row>
    <row r="356" spans="1:9" ht="12.75">
      <c r="A356" s="1"/>
      <c r="B356" s="26"/>
      <c r="H356" s="1"/>
      <c r="I356" s="26"/>
    </row>
    <row r="357" spans="1:9" ht="12.75">
      <c r="A357" s="1"/>
      <c r="B357" s="26"/>
      <c r="H357" s="1"/>
      <c r="I357" s="26"/>
    </row>
    <row r="358" spans="1:9" ht="12.75">
      <c r="A358" s="1"/>
      <c r="B358" s="26"/>
      <c r="H358" s="1"/>
      <c r="I358" s="26"/>
    </row>
    <row r="359" spans="1:9" ht="12.75">
      <c r="A359" s="1"/>
      <c r="B359" s="26"/>
      <c r="H359" s="1"/>
      <c r="I359" s="26"/>
    </row>
    <row r="360" spans="1:9" ht="12.75">
      <c r="A360" s="1"/>
      <c r="B360" s="26"/>
      <c r="H360" s="1"/>
      <c r="I360" s="26"/>
    </row>
    <row r="361" spans="1:9" ht="12.75">
      <c r="A361" s="1"/>
      <c r="B361" s="26"/>
      <c r="H361" s="1"/>
      <c r="I361" s="26"/>
    </row>
    <row r="362" spans="1:9" ht="12.75">
      <c r="A362" s="1"/>
      <c r="B362" s="26"/>
      <c r="H362" s="1"/>
      <c r="I362" s="26"/>
    </row>
    <row r="363" spans="1:9" ht="12.75">
      <c r="A363" s="1"/>
      <c r="B363" s="26"/>
      <c r="H363" s="1"/>
      <c r="I363" s="26"/>
    </row>
    <row r="364" spans="1:9" ht="12.75">
      <c r="A364" s="1"/>
      <c r="B364" s="26"/>
      <c r="H364" s="1"/>
      <c r="I364" s="26"/>
    </row>
    <row r="365" spans="1:9" ht="12.75">
      <c r="A365" s="1"/>
      <c r="B365" s="26"/>
      <c r="H365" s="1"/>
      <c r="I365" s="26"/>
    </row>
    <row r="366" spans="1:9" ht="12.75">
      <c r="A366" s="1"/>
      <c r="B366" s="26"/>
      <c r="H366" s="1"/>
      <c r="I366" s="26"/>
    </row>
    <row r="367" spans="1:9" ht="12.75">
      <c r="A367" s="1"/>
      <c r="B367" s="26"/>
      <c r="H367" s="1"/>
      <c r="I367" s="26"/>
    </row>
    <row r="368" spans="1:9" ht="12.75">
      <c r="A368" s="1"/>
      <c r="B368" s="26"/>
      <c r="H368" s="1"/>
      <c r="I368" s="26"/>
    </row>
    <row r="369" spans="1:9" ht="12.75">
      <c r="A369" s="1"/>
      <c r="B369" s="26"/>
      <c r="H369" s="1"/>
      <c r="I369" s="26"/>
    </row>
    <row r="370" spans="1:9" ht="12.75">
      <c r="A370" s="1"/>
      <c r="B370" s="26"/>
      <c r="H370" s="1"/>
      <c r="I370" s="26"/>
    </row>
    <row r="371" spans="1:9" ht="12.75">
      <c r="A371" s="1"/>
      <c r="B371" s="26"/>
      <c r="H371" s="1"/>
      <c r="I371" s="26"/>
    </row>
    <row r="372" spans="1:9" ht="12.75">
      <c r="A372" s="1"/>
      <c r="B372" s="26"/>
      <c r="H372" s="1"/>
      <c r="I372" s="26"/>
    </row>
    <row r="373" spans="1:9" ht="12.75">
      <c r="A373" s="1"/>
      <c r="B373" s="26"/>
      <c r="H373" s="1"/>
      <c r="I373" s="26"/>
    </row>
    <row r="374" spans="1:9" ht="12.75">
      <c r="A374" s="1"/>
      <c r="B374" s="26"/>
      <c r="H374" s="1"/>
      <c r="I374" s="26"/>
    </row>
    <row r="375" spans="1:9" ht="12.75">
      <c r="A375" s="1"/>
      <c r="B375" s="26"/>
      <c r="H375" s="1"/>
      <c r="I375" s="26"/>
    </row>
    <row r="376" spans="1:9" ht="12.75">
      <c r="A376" s="1"/>
      <c r="B376" s="26"/>
      <c r="H376" s="1"/>
      <c r="I376" s="26"/>
    </row>
    <row r="377" spans="1:9" ht="12.75">
      <c r="A377" s="1"/>
      <c r="B377" s="26"/>
      <c r="H377" s="1"/>
      <c r="I377" s="26"/>
    </row>
    <row r="378" spans="1:9" ht="12.75">
      <c r="A378" s="1"/>
      <c r="B378" s="26"/>
      <c r="H378" s="1"/>
      <c r="I378" s="26"/>
    </row>
    <row r="379" spans="1:9" ht="12.75">
      <c r="A379" s="1"/>
      <c r="B379" s="26"/>
      <c r="H379" s="1"/>
      <c r="I379" s="26"/>
    </row>
    <row r="380" spans="1:9" ht="12.75">
      <c r="A380" s="1"/>
      <c r="B380" s="26"/>
      <c r="H380" s="1"/>
      <c r="I380" s="26"/>
    </row>
    <row r="381" spans="1:9" ht="12.75">
      <c r="A381" s="1"/>
      <c r="B381" s="26"/>
      <c r="H381" s="1"/>
      <c r="I381" s="26"/>
    </row>
    <row r="382" spans="1:9" ht="12.75">
      <c r="A382" s="1"/>
      <c r="B382" s="26"/>
      <c r="H382" s="1"/>
      <c r="I382" s="26"/>
    </row>
    <row r="383" spans="1:9" ht="12.75">
      <c r="A383" s="1"/>
      <c r="B383" s="26"/>
      <c r="H383" s="1"/>
      <c r="I383" s="26"/>
    </row>
    <row r="384" spans="1:9" ht="12.75">
      <c r="A384" s="1"/>
      <c r="B384" s="26"/>
      <c r="H384" s="1"/>
      <c r="I384" s="26"/>
    </row>
    <row r="385" spans="1:9" ht="12.75">
      <c r="A385" s="1"/>
      <c r="B385" s="26"/>
      <c r="H385" s="1"/>
      <c r="I385" s="26"/>
    </row>
    <row r="386" spans="1:9" ht="12.75">
      <c r="A386" s="1"/>
      <c r="B386" s="26"/>
      <c r="H386" s="1"/>
      <c r="I386" s="26"/>
    </row>
    <row r="387" spans="1:9" ht="12.75">
      <c r="A387" s="1"/>
      <c r="B387" s="26"/>
      <c r="H387" s="1"/>
      <c r="I387" s="26"/>
    </row>
    <row r="388" spans="1:9" ht="12.75">
      <c r="A388" s="1"/>
      <c r="B388" s="26"/>
      <c r="H388" s="1"/>
      <c r="I388" s="26"/>
    </row>
    <row r="389" spans="1:9" ht="12.75">
      <c r="A389" s="1"/>
      <c r="B389" s="26"/>
      <c r="H389" s="1"/>
      <c r="I389" s="26"/>
    </row>
    <row r="390" spans="1:9" ht="12.75">
      <c r="A390" s="1"/>
      <c r="B390" s="26"/>
      <c r="H390" s="1"/>
      <c r="I390" s="26"/>
    </row>
    <row r="391" spans="1:9" ht="12.75">
      <c r="A391" s="1"/>
      <c r="B391" s="26"/>
      <c r="H391" s="1"/>
      <c r="I391" s="26"/>
    </row>
    <row r="392" spans="1:9" ht="12.75">
      <c r="A392" s="1"/>
      <c r="B392" s="26"/>
      <c r="H392" s="1"/>
      <c r="I392" s="26"/>
    </row>
    <row r="393" spans="1:9" ht="12.75">
      <c r="A393" s="1"/>
      <c r="B393" s="26"/>
      <c r="H393" s="1"/>
      <c r="I393" s="26"/>
    </row>
    <row r="394" spans="1:9" ht="12.75">
      <c r="A394" s="1"/>
      <c r="B394" s="26"/>
      <c r="H394" s="1"/>
      <c r="I394" s="26"/>
    </row>
    <row r="395" spans="1:9" ht="12.75">
      <c r="A395" s="1"/>
      <c r="B395" s="26"/>
      <c r="H395" s="1"/>
      <c r="I395" s="26"/>
    </row>
    <row r="396" spans="1:9" ht="12.75">
      <c r="A396" s="1"/>
      <c r="B396" s="26"/>
      <c r="H396" s="1"/>
      <c r="I396" s="26"/>
    </row>
    <row r="397" spans="1:9" ht="12.75">
      <c r="A397" s="1"/>
      <c r="B397" s="26"/>
      <c r="H397" s="1"/>
      <c r="I397" s="26"/>
    </row>
    <row r="398" spans="1:9" ht="12.75">
      <c r="A398" s="1"/>
      <c r="B398" s="26"/>
      <c r="H398" s="1"/>
      <c r="I398" s="26"/>
    </row>
    <row r="399" spans="1:9" ht="12.75">
      <c r="A399" s="1"/>
      <c r="B399" s="26"/>
      <c r="H399" s="1"/>
      <c r="I399" s="26"/>
    </row>
    <row r="400" spans="1:9" ht="12.75">
      <c r="A400" s="1"/>
      <c r="B400" s="26"/>
      <c r="H400" s="1"/>
      <c r="I400" s="26"/>
    </row>
    <row r="401" spans="1:9" ht="12.75">
      <c r="A401" s="1"/>
      <c r="B401" s="26"/>
      <c r="H401" s="1"/>
      <c r="I401" s="26"/>
    </row>
    <row r="402" spans="1:9" ht="12.75">
      <c r="A402" s="1"/>
      <c r="B402" s="26"/>
      <c r="H402" s="1"/>
      <c r="I402" s="26"/>
    </row>
    <row r="403" spans="1:9" ht="12.75">
      <c r="A403" s="1"/>
      <c r="B403" s="26"/>
      <c r="H403" s="1"/>
      <c r="I403" s="26"/>
    </row>
    <row r="404" spans="1:9" ht="12.75">
      <c r="A404" s="1"/>
      <c r="B404" s="26"/>
      <c r="H404" s="1"/>
      <c r="I404" s="26"/>
    </row>
    <row r="405" spans="1:9" ht="12.75">
      <c r="A405" s="1"/>
      <c r="B405" s="26"/>
      <c r="H405" s="1"/>
      <c r="I405" s="26"/>
    </row>
    <row r="406" spans="1:9" ht="12.75">
      <c r="A406" s="1"/>
      <c r="B406" s="26"/>
      <c r="H406" s="1"/>
      <c r="I406" s="26"/>
    </row>
    <row r="407" spans="1:9" ht="12.75">
      <c r="A407" s="1"/>
      <c r="B407" s="26"/>
      <c r="H407" s="1"/>
      <c r="I407" s="26"/>
    </row>
    <row r="408" spans="1:9" ht="12.75">
      <c r="A408" s="1"/>
      <c r="B408" s="26"/>
      <c r="H408" s="1"/>
      <c r="I408" s="26"/>
    </row>
    <row r="409" spans="1:9" ht="12.75">
      <c r="A409" s="1"/>
      <c r="B409" s="26"/>
      <c r="H409" s="1"/>
      <c r="I409" s="26"/>
    </row>
    <row r="410" spans="1:9" ht="12.75">
      <c r="A410" s="1"/>
      <c r="B410" s="26"/>
      <c r="H410" s="1"/>
      <c r="I410" s="26"/>
    </row>
    <row r="411" spans="1:9" ht="12.75">
      <c r="A411" s="1"/>
      <c r="B411" s="26"/>
      <c r="H411" s="1"/>
      <c r="I411" s="26"/>
    </row>
    <row r="412" spans="1:9" ht="12.75">
      <c r="A412" s="1"/>
      <c r="B412" s="26"/>
      <c r="H412" s="1"/>
      <c r="I412" s="26"/>
    </row>
    <row r="413" spans="1:9" ht="12.75">
      <c r="A413" s="1"/>
      <c r="B413" s="26"/>
      <c r="H413" s="1"/>
      <c r="I413" s="26"/>
    </row>
    <row r="414" spans="1:9" ht="12.75">
      <c r="A414" s="1"/>
      <c r="B414" s="26"/>
      <c r="H414" s="1"/>
      <c r="I414" s="26"/>
    </row>
    <row r="415" spans="1:9" ht="12.75">
      <c r="A415" s="1"/>
      <c r="B415" s="26"/>
      <c r="H415" s="1"/>
      <c r="I415" s="26"/>
    </row>
    <row r="416" spans="1:9" ht="12.75">
      <c r="A416" s="1"/>
      <c r="B416" s="26"/>
      <c r="H416" s="1"/>
      <c r="I416" s="26"/>
    </row>
    <row r="417" spans="1:9" ht="12.75">
      <c r="A417" s="1"/>
      <c r="B417" s="26"/>
      <c r="H417" s="1"/>
      <c r="I417" s="26"/>
    </row>
    <row r="418" spans="1:9" ht="12.75">
      <c r="A418" s="1"/>
      <c r="B418" s="26"/>
      <c r="H418" s="1"/>
      <c r="I418" s="26"/>
    </row>
    <row r="419" spans="1:9" ht="12.75">
      <c r="A419" s="1"/>
      <c r="B419" s="26"/>
      <c r="H419" s="1"/>
      <c r="I419" s="26"/>
    </row>
    <row r="420" spans="1:9" ht="12.75">
      <c r="A420" s="1"/>
      <c r="B420" s="26"/>
      <c r="H420" s="1"/>
      <c r="I420" s="26"/>
    </row>
    <row r="421" spans="1:9" ht="12.75">
      <c r="A421" s="1"/>
      <c r="B421" s="26"/>
      <c r="H421" s="1"/>
      <c r="I421" s="26"/>
    </row>
    <row r="422" spans="1:9" ht="12.75">
      <c r="A422" s="1"/>
      <c r="B422" s="26"/>
      <c r="H422" s="1"/>
      <c r="I422" s="26"/>
    </row>
    <row r="423" spans="1:9" ht="12.75">
      <c r="A423" s="1"/>
      <c r="B423" s="26"/>
      <c r="H423" s="1"/>
      <c r="I423" s="26"/>
    </row>
    <row r="424" spans="1:9" ht="12.75">
      <c r="A424" s="1"/>
      <c r="B424" s="26"/>
      <c r="H424" s="1"/>
      <c r="I424" s="26"/>
    </row>
    <row r="425" spans="1:9" ht="12.75">
      <c r="A425" s="1"/>
      <c r="B425" s="26"/>
      <c r="H425" s="1"/>
      <c r="I425" s="26"/>
    </row>
    <row r="426" spans="1:9" ht="12.75">
      <c r="A426" s="1"/>
      <c r="B426" s="26"/>
      <c r="H426" s="1"/>
      <c r="I426" s="26"/>
    </row>
    <row r="427" spans="1:9" ht="12.75">
      <c r="A427" s="1"/>
      <c r="B427" s="26"/>
      <c r="H427" s="1"/>
      <c r="I427" s="26"/>
    </row>
    <row r="428" spans="1:9" ht="12.75">
      <c r="A428" s="1"/>
      <c r="B428" s="26"/>
      <c r="H428" s="1"/>
      <c r="I428" s="26"/>
    </row>
    <row r="429" spans="1:9" ht="12.75">
      <c r="A429" s="1"/>
      <c r="B429" s="26"/>
      <c r="H429" s="1"/>
      <c r="I429" s="26"/>
    </row>
    <row r="430" spans="1:9" ht="12.75">
      <c r="A430" s="1"/>
      <c r="B430" s="26"/>
      <c r="H430" s="1"/>
      <c r="I430" s="26"/>
    </row>
    <row r="431" spans="1:9" ht="12.75">
      <c r="A431" s="1"/>
      <c r="B431" s="26"/>
      <c r="H431" s="1"/>
      <c r="I431" s="26"/>
    </row>
    <row r="432" spans="1:9" ht="12.75">
      <c r="A432" s="1"/>
      <c r="B432" s="26"/>
      <c r="H432" s="1"/>
      <c r="I432" s="26"/>
    </row>
    <row r="433" spans="1:9" ht="12.75">
      <c r="A433" s="1"/>
      <c r="B433" s="26"/>
      <c r="H433" s="1"/>
      <c r="I433" s="26"/>
    </row>
    <row r="434" spans="1:9" ht="12.75">
      <c r="A434" s="1"/>
      <c r="B434" s="26"/>
      <c r="H434" s="1"/>
      <c r="I434" s="26"/>
    </row>
    <row r="435" spans="1:9" ht="12.75">
      <c r="A435" s="1"/>
      <c r="B435" s="26"/>
      <c r="H435" s="1"/>
      <c r="I435" s="26"/>
    </row>
    <row r="436" spans="1:9" ht="12.75">
      <c r="A436" s="1"/>
      <c r="B436" s="26"/>
      <c r="H436" s="1"/>
      <c r="I436" s="26"/>
    </row>
    <row r="437" spans="1:9" ht="12.75">
      <c r="A437" s="1"/>
      <c r="B437" s="26"/>
      <c r="H437" s="1"/>
      <c r="I437" s="26"/>
    </row>
    <row r="438" spans="1:9" ht="12.75">
      <c r="A438" s="1"/>
      <c r="B438" s="26"/>
      <c r="H438" s="1"/>
      <c r="I438" s="26"/>
    </row>
    <row r="439" spans="1:9" ht="12.75">
      <c r="A439" s="1"/>
      <c r="B439" s="26"/>
      <c r="H439" s="1"/>
      <c r="I439" s="26"/>
    </row>
    <row r="440" spans="1:9" ht="12.75">
      <c r="A440" s="1"/>
      <c r="B440" s="26"/>
      <c r="H440" s="1"/>
      <c r="I440" s="26"/>
    </row>
    <row r="441" spans="1:9" ht="12.75">
      <c r="A441" s="1"/>
      <c r="B441" s="26"/>
      <c r="H441" s="1"/>
      <c r="I441" s="26"/>
    </row>
    <row r="442" spans="1:9" ht="12.75">
      <c r="A442" s="1"/>
      <c r="B442" s="26"/>
      <c r="H442" s="1"/>
      <c r="I442" s="26"/>
    </row>
    <row r="443" spans="1:9" ht="12.75">
      <c r="A443" s="1"/>
      <c r="B443" s="26"/>
      <c r="H443" s="1"/>
      <c r="I443" s="26"/>
    </row>
    <row r="444" spans="1:9" ht="12.75">
      <c r="A444" s="1"/>
      <c r="B444" s="26"/>
      <c r="H444" s="1"/>
      <c r="I444" s="26"/>
    </row>
    <row r="445" spans="1:9" ht="12.75">
      <c r="A445" s="1"/>
      <c r="B445" s="26"/>
      <c r="H445" s="1"/>
      <c r="I445" s="26"/>
    </row>
    <row r="446" spans="1:9" ht="12.75">
      <c r="A446" s="1"/>
      <c r="B446" s="26"/>
      <c r="H446" s="1"/>
      <c r="I446" s="26"/>
    </row>
    <row r="447" spans="1:9" ht="12.75">
      <c r="A447" s="1"/>
      <c r="B447" s="26"/>
      <c r="H447" s="1"/>
      <c r="I447" s="26"/>
    </row>
    <row r="448" spans="1:9" ht="12.75">
      <c r="A448" s="1"/>
      <c r="B448" s="26"/>
      <c r="H448" s="1"/>
      <c r="I448" s="26"/>
    </row>
    <row r="449" spans="1:9" ht="12.75">
      <c r="A449" s="1"/>
      <c r="B449" s="26"/>
      <c r="H449" s="1"/>
      <c r="I449" s="26"/>
    </row>
    <row r="450" spans="1:9" ht="12.75">
      <c r="A450" s="1"/>
      <c r="B450" s="26"/>
      <c r="H450" s="1"/>
      <c r="I450" s="26"/>
    </row>
    <row r="451" spans="1:9" ht="12.75">
      <c r="A451" s="1"/>
      <c r="B451" s="26"/>
      <c r="H451" s="1"/>
      <c r="I451" s="26"/>
    </row>
    <row r="452" spans="1:9" ht="12.75">
      <c r="A452" s="1"/>
      <c r="B452" s="26"/>
      <c r="H452" s="1"/>
      <c r="I452" s="26"/>
    </row>
    <row r="453" spans="1:9" ht="12.75">
      <c r="A453" s="1"/>
      <c r="B453" s="26"/>
      <c r="H453" s="1"/>
      <c r="I453" s="26"/>
    </row>
    <row r="454" spans="1:9" ht="12.75">
      <c r="A454" s="1"/>
      <c r="B454" s="26"/>
      <c r="H454" s="1"/>
      <c r="I454" s="26"/>
    </row>
    <row r="455" spans="1:9" ht="12.75">
      <c r="A455" s="1"/>
      <c r="B455" s="26"/>
      <c r="H455" s="1"/>
      <c r="I455" s="26"/>
    </row>
    <row r="456" spans="1:9" ht="12.75">
      <c r="A456" s="1"/>
      <c r="B456" s="26"/>
      <c r="H456" s="1"/>
      <c r="I456" s="26"/>
    </row>
    <row r="457" spans="1:9" ht="12.75">
      <c r="A457" s="1"/>
      <c r="B457" s="26"/>
      <c r="H457" s="1"/>
      <c r="I457" s="26"/>
    </row>
    <row r="458" spans="1:9" ht="12.75">
      <c r="A458" s="1"/>
      <c r="B458" s="26"/>
      <c r="H458" s="1"/>
      <c r="I458" s="26"/>
    </row>
    <row r="459" spans="1:9" ht="12.75">
      <c r="A459" s="1"/>
      <c r="B459" s="26"/>
      <c r="H459" s="1"/>
      <c r="I459" s="26"/>
    </row>
    <row r="460" spans="1:9" ht="12.75">
      <c r="A460" s="1"/>
      <c r="B460" s="26"/>
      <c r="H460" s="1"/>
      <c r="I460" s="26"/>
    </row>
    <row r="461" spans="1:9" ht="12.75">
      <c r="A461" s="1"/>
      <c r="B461" s="26"/>
      <c r="H461" s="1"/>
      <c r="I461" s="26"/>
    </row>
    <row r="462" spans="1:9" ht="12.75">
      <c r="A462" s="1"/>
      <c r="B462" s="26"/>
      <c r="H462" s="1"/>
      <c r="I462" s="26"/>
    </row>
    <row r="463" spans="1:9" ht="12.75">
      <c r="A463" s="1"/>
      <c r="B463" s="26"/>
      <c r="H463" s="1"/>
      <c r="I463" s="26"/>
    </row>
    <row r="464" spans="1:9" ht="12.75">
      <c r="A464" s="1"/>
      <c r="B464" s="26"/>
      <c r="H464" s="1"/>
      <c r="I464" s="26"/>
    </row>
    <row r="465" spans="1:9" ht="12.75">
      <c r="A465" s="1"/>
      <c r="B465" s="26"/>
      <c r="H465" s="1"/>
      <c r="I465" s="26"/>
    </row>
    <row r="466" spans="1:9" ht="12.75">
      <c r="A466" s="1"/>
      <c r="B466" s="26"/>
      <c r="H466" s="1"/>
      <c r="I466" s="26"/>
    </row>
    <row r="467" spans="1:9" ht="12.75">
      <c r="A467" s="1"/>
      <c r="B467" s="26"/>
      <c r="H467" s="1"/>
      <c r="I467" s="26"/>
    </row>
    <row r="468" spans="1:9" ht="12.75">
      <c r="A468" s="1"/>
      <c r="B468" s="26"/>
      <c r="H468" s="1"/>
      <c r="I468" s="26"/>
    </row>
    <row r="469" spans="1:9" ht="12.75">
      <c r="A469" s="1"/>
      <c r="B469" s="26"/>
      <c r="H469" s="1"/>
      <c r="I469" s="26"/>
    </row>
    <row r="470" spans="1:9" ht="12.75">
      <c r="A470" s="1"/>
      <c r="B470" s="26"/>
      <c r="H470" s="1"/>
      <c r="I470" s="26"/>
    </row>
    <row r="471" spans="1:9" ht="12.75">
      <c r="A471" s="1"/>
      <c r="B471" s="26"/>
      <c r="H471" s="1"/>
      <c r="I471" s="26"/>
    </row>
    <row r="472" spans="1:9" ht="12.75">
      <c r="A472" s="1"/>
      <c r="B472" s="26"/>
      <c r="H472" s="1"/>
      <c r="I472" s="26"/>
    </row>
    <row r="473" spans="1:9" ht="12.75">
      <c r="A473" s="1"/>
      <c r="B473" s="26"/>
      <c r="H473" s="1"/>
      <c r="I473" s="26"/>
    </row>
    <row r="474" spans="1:9" ht="12.75">
      <c r="A474" s="1"/>
      <c r="B474" s="26"/>
      <c r="H474" s="1"/>
      <c r="I474" s="26"/>
    </row>
    <row r="475" spans="1:9" ht="12.75">
      <c r="A475" s="1"/>
      <c r="B475" s="26"/>
      <c r="H475" s="1"/>
      <c r="I475" s="26"/>
    </row>
    <row r="476" spans="1:9" ht="12.75">
      <c r="A476" s="1"/>
      <c r="B476" s="26"/>
      <c r="H476" s="1"/>
      <c r="I476" s="26"/>
    </row>
    <row r="477" spans="1:9" ht="12.75">
      <c r="A477" s="1"/>
      <c r="B477" s="26"/>
      <c r="H477" s="1"/>
      <c r="I477" s="26"/>
    </row>
    <row r="478" spans="1:9" ht="12.75">
      <c r="A478" s="1"/>
      <c r="B478" s="26"/>
      <c r="H478" s="1"/>
      <c r="I478" s="26"/>
    </row>
    <row r="479" spans="1:9" ht="12.75">
      <c r="A479" s="1"/>
      <c r="B479" s="26"/>
      <c r="H479" s="1"/>
      <c r="I479" s="26"/>
    </row>
    <row r="480" spans="1:9" ht="12.75">
      <c r="A480" s="1"/>
      <c r="B480" s="26"/>
      <c r="H480" s="1"/>
      <c r="I480" s="26"/>
    </row>
    <row r="481" spans="1:9" ht="12.75">
      <c r="A481" s="1"/>
      <c r="B481" s="26"/>
      <c r="H481" s="1"/>
      <c r="I481" s="26"/>
    </row>
    <row r="482" spans="1:9" ht="12.75">
      <c r="A482" s="1"/>
      <c r="B482" s="26"/>
      <c r="H482" s="1"/>
      <c r="I482" s="26"/>
    </row>
    <row r="483" spans="1:9" ht="12.75">
      <c r="A483" s="1"/>
      <c r="B483" s="26"/>
      <c r="H483" s="1"/>
      <c r="I483" s="26"/>
    </row>
    <row r="484" spans="1:9" ht="12.75">
      <c r="A484" s="1"/>
      <c r="B484" s="26"/>
      <c r="H484" s="1"/>
      <c r="I484" s="26"/>
    </row>
    <row r="485" spans="1:9" ht="12.75">
      <c r="A485" s="1"/>
      <c r="B485" s="26"/>
      <c r="H485" s="1"/>
      <c r="I485" s="26"/>
    </row>
    <row r="486" spans="1:9" ht="12.75">
      <c r="A486" s="1"/>
      <c r="B486" s="26"/>
      <c r="H486" s="1"/>
      <c r="I486" s="26"/>
    </row>
    <row r="487" spans="1:9" ht="12.75">
      <c r="A487" s="1"/>
      <c r="B487" s="26"/>
      <c r="H487" s="1"/>
      <c r="I487" s="26"/>
    </row>
    <row r="488" spans="1:9" ht="12.75">
      <c r="A488" s="1"/>
      <c r="B488" s="26"/>
      <c r="H488" s="1"/>
      <c r="I488" s="26"/>
    </row>
    <row r="489" spans="1:9" ht="12.75">
      <c r="A489" s="1"/>
      <c r="B489" s="26"/>
      <c r="H489" s="1"/>
      <c r="I489" s="26"/>
    </row>
    <row r="490" spans="1:9" ht="12.75">
      <c r="A490" s="1"/>
      <c r="B490" s="26"/>
      <c r="H490" s="1"/>
      <c r="I490" s="26"/>
    </row>
    <row r="491" spans="1:9" ht="12.75">
      <c r="A491" s="1"/>
      <c r="B491" s="26"/>
      <c r="H491" s="1"/>
      <c r="I491" s="26"/>
    </row>
    <row r="492" spans="1:9" ht="12.75">
      <c r="A492" s="1"/>
      <c r="B492" s="26"/>
      <c r="H492" s="1"/>
      <c r="I492" s="26"/>
    </row>
    <row r="493" spans="1:9" ht="12.75">
      <c r="A493" s="1"/>
      <c r="B493" s="26"/>
      <c r="H493" s="1"/>
      <c r="I493" s="26"/>
    </row>
    <row r="494" spans="1:9" ht="12.75">
      <c r="A494" s="1"/>
      <c r="B494" s="26"/>
      <c r="H494" s="1"/>
      <c r="I494" s="26"/>
    </row>
    <row r="495" spans="1:9" ht="12.75">
      <c r="A495" s="1"/>
      <c r="B495" s="26"/>
      <c r="H495" s="1"/>
      <c r="I495" s="26"/>
    </row>
    <row r="496" spans="1:9" ht="12.75">
      <c r="A496" s="1"/>
      <c r="B496" s="26"/>
      <c r="H496" s="1"/>
      <c r="I496" s="26"/>
    </row>
    <row r="497" spans="1:9" ht="12.75">
      <c r="A497" s="1"/>
      <c r="B497" s="26"/>
      <c r="H497" s="1"/>
      <c r="I497" s="26"/>
    </row>
    <row r="498" spans="1:9" ht="12.75">
      <c r="A498" s="1"/>
      <c r="B498" s="26"/>
      <c r="H498" s="1"/>
      <c r="I498" s="26"/>
    </row>
    <row r="499" spans="1:9" ht="12.75">
      <c r="A499" s="1"/>
      <c r="B499" s="26"/>
      <c r="H499" s="1"/>
      <c r="I499" s="26"/>
    </row>
    <row r="500" spans="1:9" ht="12.75">
      <c r="A500" s="1"/>
      <c r="B500" s="26"/>
      <c r="H500" s="1"/>
      <c r="I500" s="26"/>
    </row>
    <row r="501" spans="1:9" ht="12.75">
      <c r="A501" s="1"/>
      <c r="B501" s="26"/>
      <c r="H501" s="1"/>
      <c r="I501" s="26"/>
    </row>
    <row r="502" spans="1:9" ht="12.75">
      <c r="A502" s="1"/>
      <c r="B502" s="26"/>
      <c r="H502" s="1"/>
      <c r="I502" s="26"/>
    </row>
    <row r="503" spans="1:9" ht="12.75">
      <c r="A503" s="1"/>
      <c r="B503" s="26"/>
      <c r="H503" s="1"/>
      <c r="I503" s="26"/>
    </row>
    <row r="504" spans="1:9" ht="12.75">
      <c r="A504" s="1"/>
      <c r="B504" s="26"/>
      <c r="H504" s="1"/>
      <c r="I504" s="26"/>
    </row>
    <row r="505" spans="1:9" ht="12.75">
      <c r="A505" s="1"/>
      <c r="B505" s="26"/>
      <c r="H505" s="1"/>
      <c r="I505" s="26"/>
    </row>
    <row r="506" spans="1:9" ht="12.75">
      <c r="A506" s="1"/>
      <c r="B506" s="26"/>
      <c r="H506" s="1"/>
      <c r="I506" s="26"/>
    </row>
    <row r="507" spans="1:9" ht="12.75">
      <c r="A507" s="1"/>
      <c r="B507" s="26"/>
      <c r="H507" s="1"/>
      <c r="I507" s="26"/>
    </row>
    <row r="508" spans="1:9" ht="12.75">
      <c r="A508" s="1"/>
      <c r="B508" s="26"/>
      <c r="H508" s="1"/>
      <c r="I508" s="26"/>
    </row>
    <row r="509" spans="1:9" ht="12.75">
      <c r="A509" s="1"/>
      <c r="B509" s="26"/>
      <c r="H509" s="1"/>
      <c r="I509" s="26"/>
    </row>
    <row r="510" spans="1:9" ht="12.75">
      <c r="A510" s="1"/>
      <c r="B510" s="26"/>
      <c r="H510" s="1"/>
      <c r="I510" s="26"/>
    </row>
    <row r="511" spans="1:9" ht="12.75">
      <c r="A511" s="1"/>
      <c r="B511" s="26"/>
      <c r="H511" s="1"/>
      <c r="I511" s="26"/>
    </row>
    <row r="512" spans="1:9" ht="12.75">
      <c r="A512" s="1"/>
      <c r="B512" s="26"/>
      <c r="H512" s="1"/>
      <c r="I512" s="26"/>
    </row>
    <row r="513" spans="1:9" ht="12.75">
      <c r="A513" s="1"/>
      <c r="B513" s="26"/>
      <c r="H513" s="1"/>
      <c r="I513" s="26"/>
    </row>
    <row r="514" spans="1:9" ht="12.75">
      <c r="A514" s="1"/>
      <c r="B514" s="26"/>
      <c r="H514" s="1"/>
      <c r="I514" s="26"/>
    </row>
    <row r="515" spans="1:9" ht="12.75">
      <c r="A515" s="1"/>
      <c r="B515" s="26"/>
      <c r="H515" s="1"/>
      <c r="I515" s="26"/>
    </row>
    <row r="516" spans="1:9" ht="12.75">
      <c r="A516" s="1"/>
      <c r="B516" s="26"/>
      <c r="H516" s="1"/>
      <c r="I516" s="26"/>
    </row>
    <row r="517" spans="1:9" ht="12.75">
      <c r="A517" s="1"/>
      <c r="B517" s="26"/>
      <c r="H517" s="1"/>
      <c r="I517" s="26"/>
    </row>
    <row r="518" spans="1:9" ht="12.75">
      <c r="A518" s="1"/>
      <c r="B518" s="26"/>
      <c r="H518" s="1"/>
      <c r="I518" s="26"/>
    </row>
    <row r="519" spans="1:9" ht="12.75">
      <c r="A519" s="1"/>
      <c r="B519" s="26"/>
      <c r="H519" s="1"/>
      <c r="I519" s="26"/>
    </row>
    <row r="520" spans="1:9" ht="12.75">
      <c r="A520" s="1"/>
      <c r="B520" s="26"/>
      <c r="H520" s="1"/>
      <c r="I520" s="26"/>
    </row>
    <row r="521" spans="1:9" ht="12.75">
      <c r="A521" s="1"/>
      <c r="B521" s="26"/>
      <c r="H521" s="1"/>
      <c r="I521" s="26"/>
    </row>
    <row r="522" spans="1:9" ht="12.75">
      <c r="A522" s="1"/>
      <c r="B522" s="26"/>
      <c r="H522" s="1"/>
      <c r="I522" s="26"/>
    </row>
    <row r="523" spans="1:9" ht="12.75">
      <c r="A523" s="1"/>
      <c r="B523" s="26"/>
      <c r="H523" s="1"/>
      <c r="I523" s="26"/>
    </row>
    <row r="524" spans="1:9" ht="12.75">
      <c r="A524" s="1"/>
      <c r="B524" s="26"/>
      <c r="H524" s="1"/>
      <c r="I524" s="26"/>
    </row>
    <row r="525" spans="1:9" ht="12.75">
      <c r="A525" s="1"/>
      <c r="B525" s="26"/>
      <c r="H525" s="1"/>
      <c r="I525" s="26"/>
    </row>
    <row r="526" spans="1:9" ht="12.75">
      <c r="A526" s="1"/>
      <c r="B526" s="26"/>
      <c r="H526" s="1"/>
      <c r="I526" s="26"/>
    </row>
    <row r="527" spans="1:9" ht="12.75">
      <c r="A527" s="1"/>
      <c r="B527" s="26"/>
      <c r="H527" s="1"/>
      <c r="I527" s="26"/>
    </row>
    <row r="528" spans="1:9" ht="12.75">
      <c r="A528" s="1"/>
      <c r="B528" s="26"/>
      <c r="H528" s="1"/>
      <c r="I528" s="26"/>
    </row>
    <row r="529" spans="1:9" ht="12.75">
      <c r="A529" s="1"/>
      <c r="B529" s="26"/>
      <c r="H529" s="1"/>
      <c r="I529" s="26"/>
    </row>
    <row r="530" spans="1:9" ht="12.75">
      <c r="A530" s="1"/>
      <c r="B530" s="26"/>
      <c r="H530" s="1"/>
      <c r="I530" s="26"/>
    </row>
    <row r="531" spans="1:9" ht="12.75">
      <c r="A531" s="1"/>
      <c r="B531" s="26"/>
      <c r="H531" s="1"/>
      <c r="I531" s="26"/>
    </row>
    <row r="532" spans="1:9" ht="12.75">
      <c r="A532" s="1"/>
      <c r="B532" s="26"/>
      <c r="H532" s="1"/>
      <c r="I532" s="26"/>
    </row>
    <row r="533" spans="1:9" ht="12.75">
      <c r="A533" s="1"/>
      <c r="B533" s="26"/>
      <c r="H533" s="1"/>
      <c r="I533" s="26"/>
    </row>
    <row r="534" spans="1:9" ht="12.75">
      <c r="A534" s="1"/>
      <c r="B534" s="26"/>
      <c r="H534" s="1"/>
      <c r="I534" s="26"/>
    </row>
    <row r="535" spans="1:9" ht="12.75">
      <c r="A535" s="1"/>
      <c r="B535" s="26"/>
      <c r="H535" s="1"/>
      <c r="I535" s="26"/>
    </row>
    <row r="536" spans="1:9" ht="12.75">
      <c r="A536" s="1"/>
      <c r="B536" s="26"/>
      <c r="H536" s="1"/>
      <c r="I536" s="26"/>
    </row>
    <row r="537" spans="1:9" ht="12.75">
      <c r="A537" s="1"/>
      <c r="B537" s="26"/>
      <c r="H537" s="1"/>
      <c r="I537" s="26"/>
    </row>
    <row r="538" spans="1:9" ht="12.75">
      <c r="A538" s="1"/>
      <c r="B538" s="26"/>
      <c r="H538" s="1"/>
      <c r="I538" s="26"/>
    </row>
    <row r="539" spans="1:9" ht="12.75">
      <c r="A539" s="1"/>
      <c r="B539" s="26"/>
      <c r="H539" s="1"/>
      <c r="I539" s="26"/>
    </row>
    <row r="540" spans="1:9" ht="12.75">
      <c r="A540" s="1"/>
      <c r="B540" s="26"/>
      <c r="H540" s="1"/>
      <c r="I540" s="26"/>
    </row>
    <row r="541" spans="1:9" ht="12.75">
      <c r="A541" s="1"/>
      <c r="B541" s="26"/>
      <c r="H541" s="1"/>
      <c r="I541" s="26"/>
    </row>
    <row r="542" spans="1:9" ht="12.75">
      <c r="A542" s="1"/>
      <c r="B542" s="26"/>
      <c r="H542" s="1"/>
      <c r="I542" s="26"/>
    </row>
    <row r="543" spans="1:9" ht="12.75">
      <c r="A543" s="1"/>
      <c r="B543" s="26"/>
      <c r="H543" s="1"/>
      <c r="I543" s="26"/>
    </row>
    <row r="544" spans="1:9" ht="12.75">
      <c r="A544" s="1"/>
      <c r="B544" s="26"/>
      <c r="H544" s="1"/>
      <c r="I544" s="26"/>
    </row>
    <row r="545" spans="1:9" ht="12.75">
      <c r="A545" s="1"/>
      <c r="B545" s="26"/>
      <c r="H545" s="1"/>
      <c r="I545" s="26"/>
    </row>
    <row r="546" spans="1:9" ht="12.75">
      <c r="A546" s="1"/>
      <c r="B546" s="26"/>
      <c r="H546" s="1"/>
      <c r="I546" s="26"/>
    </row>
    <row r="547" spans="1:9" ht="12.75">
      <c r="A547" s="1"/>
      <c r="B547" s="26"/>
      <c r="H547" s="1"/>
      <c r="I547" s="26"/>
    </row>
    <row r="548" spans="1:9" ht="12.75">
      <c r="A548" s="1"/>
      <c r="B548" s="26"/>
      <c r="H548" s="1"/>
      <c r="I548" s="26"/>
    </row>
    <row r="549" spans="1:9" ht="12.75">
      <c r="A549" s="1"/>
      <c r="B549" s="26"/>
      <c r="H549" s="1"/>
      <c r="I549" s="26"/>
    </row>
    <row r="550" spans="1:9" ht="12.75">
      <c r="A550" s="1"/>
      <c r="B550" s="26"/>
      <c r="H550" s="1"/>
      <c r="I550" s="26"/>
    </row>
    <row r="551" spans="1:9" ht="12.75">
      <c r="A551" s="1"/>
      <c r="B551" s="26"/>
      <c r="H551" s="1"/>
      <c r="I551" s="26"/>
    </row>
    <row r="552" spans="1:9" ht="12.75">
      <c r="A552" s="1"/>
      <c r="B552" s="26"/>
      <c r="H552" s="1"/>
      <c r="I552" s="26"/>
    </row>
    <row r="553" spans="1:9" ht="12.75">
      <c r="A553" s="1"/>
      <c r="B553" s="26"/>
      <c r="H553" s="1"/>
      <c r="I553" s="26"/>
    </row>
    <row r="554" spans="1:9" ht="12.75">
      <c r="A554" s="1"/>
      <c r="B554" s="26"/>
      <c r="H554" s="1"/>
      <c r="I554" s="26"/>
    </row>
    <row r="555" spans="1:9" ht="12.75">
      <c r="A555" s="1"/>
      <c r="B555" s="26"/>
      <c r="H555" s="1"/>
      <c r="I555" s="26"/>
    </row>
    <row r="556" spans="1:9" ht="12.75">
      <c r="A556" s="1"/>
      <c r="B556" s="26"/>
      <c r="H556" s="1"/>
      <c r="I556" s="26"/>
    </row>
    <row r="557" spans="1:9" ht="12.75">
      <c r="A557" s="1"/>
      <c r="B557" s="26"/>
      <c r="H557" s="1"/>
      <c r="I557" s="26"/>
    </row>
    <row r="558" spans="1:9" ht="12.75">
      <c r="A558" s="1"/>
      <c r="B558" s="26"/>
      <c r="H558" s="1"/>
      <c r="I558" s="26"/>
    </row>
    <row r="559" spans="1:9" ht="12.75">
      <c r="A559" s="1"/>
      <c r="B559" s="26"/>
      <c r="H559" s="1"/>
      <c r="I559" s="26"/>
    </row>
    <row r="560" spans="1:9" ht="12.75">
      <c r="A560" s="1"/>
      <c r="B560" s="26"/>
      <c r="H560" s="1"/>
      <c r="I560" s="26"/>
    </row>
    <row r="561" spans="1:9" ht="12.75">
      <c r="A561" s="1"/>
      <c r="B561" s="26"/>
      <c r="H561" s="1"/>
      <c r="I561" s="26"/>
    </row>
    <row r="562" spans="1:9" ht="12.75">
      <c r="A562" s="1"/>
      <c r="B562" s="26"/>
      <c r="H562" s="1"/>
      <c r="I562" s="26"/>
    </row>
    <row r="563" spans="1:9" ht="12.75">
      <c r="A563" s="1"/>
      <c r="B563" s="26"/>
      <c r="H563" s="1"/>
      <c r="I563" s="26"/>
    </row>
    <row r="564" spans="1:9" ht="12.75">
      <c r="A564" s="1"/>
      <c r="B564" s="26"/>
      <c r="H564" s="1"/>
      <c r="I564" s="26"/>
    </row>
    <row r="565" spans="1:9" ht="12.75">
      <c r="A565" s="1"/>
      <c r="B565" s="26"/>
      <c r="H565" s="1"/>
      <c r="I565" s="26"/>
    </row>
    <row r="566" spans="1:9" ht="12.75">
      <c r="A566" s="1"/>
      <c r="B566" s="26"/>
      <c r="H566" s="1"/>
      <c r="I566" s="26"/>
    </row>
    <row r="567" spans="1:9" ht="12.75">
      <c r="A567" s="1"/>
      <c r="B567" s="26"/>
      <c r="H567" s="1"/>
      <c r="I567" s="26"/>
    </row>
    <row r="568" spans="1:9" ht="12.75">
      <c r="A568" s="1"/>
      <c r="B568" s="26"/>
      <c r="H568" s="1"/>
      <c r="I568" s="26"/>
    </row>
    <row r="569" spans="1:9" ht="12.75">
      <c r="A569" s="1"/>
      <c r="B569" s="26"/>
      <c r="H569" s="1"/>
      <c r="I569" s="26"/>
    </row>
    <row r="570" spans="1:9" ht="12.75">
      <c r="A570" s="1"/>
      <c r="B570" s="26"/>
      <c r="H570" s="1"/>
      <c r="I570" s="26"/>
    </row>
    <row r="571" spans="1:9" ht="12.75">
      <c r="A571" s="1"/>
      <c r="B571" s="26"/>
      <c r="H571" s="1"/>
      <c r="I571" s="26"/>
    </row>
    <row r="572" spans="1:9" ht="12.75">
      <c r="A572" s="1"/>
      <c r="B572" s="26"/>
      <c r="H572" s="1"/>
      <c r="I572" s="26"/>
    </row>
    <row r="573" spans="1:9" ht="12.75">
      <c r="A573" s="1"/>
      <c r="B573" s="26"/>
      <c r="H573" s="1"/>
      <c r="I573" s="26"/>
    </row>
    <row r="574" spans="1:9" ht="12.75">
      <c r="A574" s="1"/>
      <c r="B574" s="26"/>
      <c r="H574" s="1"/>
      <c r="I574" s="26"/>
    </row>
    <row r="575" spans="1:9" ht="12.75">
      <c r="A575" s="1"/>
      <c r="B575" s="26"/>
      <c r="H575" s="1"/>
      <c r="I575" s="26"/>
    </row>
    <row r="576" spans="1:9" ht="12.75">
      <c r="A576" s="1"/>
      <c r="B576" s="26"/>
      <c r="H576" s="1"/>
      <c r="I576" s="26"/>
    </row>
    <row r="577" spans="1:9" ht="12.75">
      <c r="A577" s="1"/>
      <c r="B577" s="26"/>
      <c r="H577" s="1"/>
      <c r="I577" s="26"/>
    </row>
    <row r="578" spans="1:9" ht="12.75">
      <c r="A578" s="1"/>
      <c r="B578" s="26"/>
      <c r="H578" s="1"/>
      <c r="I578" s="26"/>
    </row>
    <row r="579" spans="1:9" ht="12.75">
      <c r="A579" s="1"/>
      <c r="B579" s="26"/>
      <c r="H579" s="1"/>
      <c r="I579" s="26"/>
    </row>
    <row r="580" spans="1:9" ht="12.75">
      <c r="A580" s="1"/>
      <c r="B580" s="26"/>
      <c r="H580" s="1"/>
      <c r="I580" s="26"/>
    </row>
    <row r="581" spans="1:9" ht="12.75">
      <c r="A581" s="1"/>
      <c r="B581" s="26"/>
      <c r="H581" s="1"/>
      <c r="I581" s="26"/>
    </row>
    <row r="582" spans="1:9" ht="12.75">
      <c r="A582" s="1"/>
      <c r="B582" s="26"/>
      <c r="H582" s="1"/>
      <c r="I582" s="26"/>
    </row>
    <row r="583" spans="1:9" ht="12.75">
      <c r="A583" s="1"/>
      <c r="B583" s="26"/>
      <c r="H583" s="1"/>
      <c r="I583" s="26"/>
    </row>
    <row r="584" spans="1:9" ht="12.75">
      <c r="A584" s="1"/>
      <c r="B584" s="26"/>
      <c r="H584" s="1"/>
      <c r="I584" s="26"/>
    </row>
    <row r="585" spans="1:9" ht="12.75">
      <c r="A585" s="1"/>
      <c r="B585" s="26"/>
      <c r="H585" s="1"/>
      <c r="I585" s="26"/>
    </row>
    <row r="586" spans="1:9" ht="12.75">
      <c r="A586" s="1"/>
      <c r="B586" s="26"/>
      <c r="H586" s="1"/>
      <c r="I586" s="26"/>
    </row>
    <row r="587" spans="1:9" ht="12.75">
      <c r="A587" s="1"/>
      <c r="B587" s="26"/>
      <c r="H587" s="1"/>
      <c r="I587" s="26"/>
    </row>
    <row r="588" spans="1:9" ht="12.75">
      <c r="A588" s="1"/>
      <c r="B588" s="26"/>
      <c r="H588" s="1"/>
      <c r="I588" s="26"/>
    </row>
    <row r="589" spans="1:9" ht="12.75">
      <c r="A589" s="1"/>
      <c r="B589" s="26"/>
      <c r="H589" s="1"/>
      <c r="I589" s="26"/>
    </row>
    <row r="590" spans="1:9" ht="12.75">
      <c r="A590" s="1"/>
      <c r="B590" s="26"/>
      <c r="H590" s="1"/>
      <c r="I590" s="26"/>
    </row>
    <row r="591" spans="1:9" ht="12.75">
      <c r="A591" s="1"/>
      <c r="B591" s="26"/>
      <c r="H591" s="1"/>
      <c r="I591" s="26"/>
    </row>
    <row r="592" spans="1:9" ht="12.75">
      <c r="A592" s="1"/>
      <c r="B592" s="26"/>
      <c r="H592" s="1"/>
      <c r="I592" s="26"/>
    </row>
    <row r="593" spans="1:9" ht="12.75">
      <c r="A593" s="1"/>
      <c r="B593" s="26"/>
      <c r="H593" s="1"/>
      <c r="I593" s="26"/>
    </row>
    <row r="594" spans="1:9" ht="12.75">
      <c r="A594" s="1"/>
      <c r="B594" s="26"/>
      <c r="H594" s="1"/>
      <c r="I594" s="26"/>
    </row>
    <row r="595" spans="1:9" ht="12.75">
      <c r="A595" s="1"/>
      <c r="B595" s="26"/>
      <c r="H595" s="1"/>
      <c r="I595" s="26"/>
    </row>
    <row r="596" spans="1:9" ht="12.75">
      <c r="A596" s="1"/>
      <c r="B596" s="26"/>
      <c r="H596" s="1"/>
      <c r="I596" s="26"/>
    </row>
    <row r="597" spans="1:9" ht="12.75">
      <c r="A597" s="1"/>
      <c r="B597" s="26"/>
      <c r="H597" s="1"/>
      <c r="I597" s="26"/>
    </row>
    <row r="598" spans="1:9" ht="12.75">
      <c r="A598" s="1"/>
      <c r="B598" s="26"/>
      <c r="H598" s="1"/>
      <c r="I598" s="26"/>
    </row>
    <row r="599" spans="1:9" ht="12.75">
      <c r="A599" s="1"/>
      <c r="B599" s="26"/>
      <c r="H599" s="1"/>
      <c r="I599" s="26"/>
    </row>
  </sheetData>
  <sheetProtection/>
  <mergeCells count="28">
    <mergeCell ref="AX52:AY52"/>
    <mergeCell ref="AZ52:BA52"/>
    <mergeCell ref="BB52:BC52"/>
    <mergeCell ref="AD52:AE52"/>
    <mergeCell ref="AF52:AG52"/>
    <mergeCell ref="AH52:AI52"/>
    <mergeCell ref="AJ52:AK52"/>
    <mergeCell ref="AL52:AM52"/>
    <mergeCell ref="AN52:AO52"/>
    <mergeCell ref="AR52:AS52"/>
    <mergeCell ref="AV52:AW52"/>
    <mergeCell ref="L52:M52"/>
    <mergeCell ref="P52:Q52"/>
    <mergeCell ref="R52:S52"/>
    <mergeCell ref="T52:U52"/>
    <mergeCell ref="V52:W52"/>
    <mergeCell ref="X52:Y52"/>
    <mergeCell ref="Z52:AA52"/>
    <mergeCell ref="B51:M51"/>
    <mergeCell ref="P51:AA51"/>
    <mergeCell ref="AD51:AO51"/>
    <mergeCell ref="AR51:BC51"/>
    <mergeCell ref="B52:C52"/>
    <mergeCell ref="D52:E52"/>
    <mergeCell ref="F52:G52"/>
    <mergeCell ref="H52:I52"/>
    <mergeCell ref="J52:K52"/>
    <mergeCell ref="AT52:AU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8"/>
  <sheetViews>
    <sheetView zoomScale="95" zoomScaleNormal="95" zoomScalePageLayoutView="0" workbookViewId="0" topLeftCell="A1">
      <selection activeCell="B5" sqref="B5"/>
    </sheetView>
  </sheetViews>
  <sheetFormatPr defaultColWidth="9.140625" defaultRowHeight="12.75"/>
  <cols>
    <col min="1" max="1" width="11.28125" style="35" customWidth="1"/>
    <col min="2" max="6" width="9.140625" style="35" customWidth="1"/>
    <col min="7" max="7" width="2.140625" style="35" customWidth="1"/>
    <col min="8" max="8" width="11.28125" style="35" customWidth="1"/>
    <col min="9" max="13" width="9.140625" style="35" customWidth="1"/>
    <col min="14" max="14" width="2.140625" style="35" customWidth="1"/>
    <col min="15" max="15" width="11.28125" style="35" customWidth="1"/>
    <col min="16" max="20" width="9.140625" style="35" customWidth="1"/>
    <col min="21" max="21" width="2.140625" style="35" customWidth="1"/>
    <col min="22" max="22" width="11.28125" style="35" customWidth="1"/>
    <col min="23" max="27" width="9.140625" style="35" customWidth="1"/>
    <col min="28" max="28" width="2.140625" style="35" customWidth="1"/>
    <col min="29" max="16384" width="9.140625" style="35" customWidth="1"/>
  </cols>
  <sheetData>
    <row r="1" spans="1:22" ht="15">
      <c r="A1" s="35" t="s">
        <v>75</v>
      </c>
      <c r="H1" s="35" t="s">
        <v>75</v>
      </c>
      <c r="O1" s="35" t="s">
        <v>75</v>
      </c>
      <c r="V1" s="35" t="s">
        <v>75</v>
      </c>
    </row>
    <row r="2" spans="1:22" ht="15">
      <c r="A2" s="35" t="s">
        <v>97</v>
      </c>
      <c r="H2" s="35" t="s">
        <v>97</v>
      </c>
      <c r="O2" s="35" t="s">
        <v>97</v>
      </c>
      <c r="V2" s="35" t="s">
        <v>97</v>
      </c>
    </row>
    <row r="3" spans="1:22" ht="15">
      <c r="A3" s="35" t="s">
        <v>98</v>
      </c>
      <c r="H3" s="35" t="s">
        <v>98</v>
      </c>
      <c r="O3" s="35" t="s">
        <v>98</v>
      </c>
      <c r="V3" s="35" t="s">
        <v>98</v>
      </c>
    </row>
    <row r="4" spans="2:27" ht="21" customHeight="1">
      <c r="B4" s="232" t="s">
        <v>79</v>
      </c>
      <c r="C4" s="233"/>
      <c r="D4" s="233"/>
      <c r="E4" s="233"/>
      <c r="F4" s="234"/>
      <c r="I4" s="232" t="s">
        <v>80</v>
      </c>
      <c r="J4" s="233"/>
      <c r="K4" s="233"/>
      <c r="L4" s="233"/>
      <c r="M4" s="234"/>
      <c r="P4" s="232" t="s">
        <v>81</v>
      </c>
      <c r="Q4" s="233"/>
      <c r="R4" s="233"/>
      <c r="S4" s="233"/>
      <c r="T4" s="234"/>
      <c r="W4" s="232" t="s">
        <v>82</v>
      </c>
      <c r="X4" s="233"/>
      <c r="Y4" s="233"/>
      <c r="Z4" s="233"/>
      <c r="AA4" s="234"/>
    </row>
    <row r="5" spans="1:27" ht="30">
      <c r="A5" s="40" t="s">
        <v>84</v>
      </c>
      <c r="B5" s="43" t="s">
        <v>12</v>
      </c>
      <c r="C5" s="43" t="s">
        <v>85</v>
      </c>
      <c r="D5" s="43" t="s">
        <v>86</v>
      </c>
      <c r="E5" s="43" t="s">
        <v>87</v>
      </c>
      <c r="F5" s="43" t="s">
        <v>88</v>
      </c>
      <c r="H5" s="40" t="s">
        <v>84</v>
      </c>
      <c r="I5" s="43" t="s">
        <v>12</v>
      </c>
      <c r="J5" s="43" t="s">
        <v>85</v>
      </c>
      <c r="K5" s="43" t="s">
        <v>86</v>
      </c>
      <c r="L5" s="43" t="s">
        <v>87</v>
      </c>
      <c r="M5" s="43" t="s">
        <v>88</v>
      </c>
      <c r="O5" s="40" t="s">
        <v>84</v>
      </c>
      <c r="P5" s="43" t="s">
        <v>12</v>
      </c>
      <c r="Q5" s="43" t="s">
        <v>85</v>
      </c>
      <c r="R5" s="43" t="s">
        <v>86</v>
      </c>
      <c r="S5" s="43" t="s">
        <v>87</v>
      </c>
      <c r="T5" s="43" t="s">
        <v>88</v>
      </c>
      <c r="V5" s="40" t="s">
        <v>84</v>
      </c>
      <c r="W5" s="43" t="s">
        <v>12</v>
      </c>
      <c r="X5" s="43" t="s">
        <v>85</v>
      </c>
      <c r="Y5" s="43" t="s">
        <v>86</v>
      </c>
      <c r="Z5" s="43" t="s">
        <v>87</v>
      </c>
      <c r="AA5" s="43" t="s">
        <v>88</v>
      </c>
    </row>
    <row r="6" spans="1:27" ht="15">
      <c r="A6" s="35">
        <v>15</v>
      </c>
      <c r="B6" s="35">
        <v>0.38230407871725935</v>
      </c>
      <c r="C6" s="35">
        <v>0.9421514732307481</v>
      </c>
      <c r="D6" s="35">
        <v>1.2725439581872322</v>
      </c>
      <c r="E6" s="35">
        <v>1.8885660752996445</v>
      </c>
      <c r="F6" s="35">
        <v>2.176327271874647</v>
      </c>
      <c r="H6" s="35">
        <v>15</v>
      </c>
      <c r="I6" s="35">
        <v>0.5314026694169905</v>
      </c>
      <c r="J6" s="35">
        <v>1.0231509211555636</v>
      </c>
      <c r="K6" s="35">
        <v>1.4004378233316779</v>
      </c>
      <c r="L6" s="35">
        <v>2.135827547912239</v>
      </c>
      <c r="M6" s="35">
        <v>2.4960619347357604</v>
      </c>
      <c r="O6" s="35">
        <v>15</v>
      </c>
      <c r="P6" s="35">
        <v>0.7731038036282356</v>
      </c>
      <c r="Q6" s="35">
        <v>1.1126766267566754</v>
      </c>
      <c r="R6" s="35">
        <v>1.545384203828716</v>
      </c>
      <c r="S6" s="35">
        <v>2.4278518733253898</v>
      </c>
      <c r="T6" s="35">
        <v>2.877611965750023</v>
      </c>
      <c r="V6" s="35">
        <v>15</v>
      </c>
      <c r="W6" s="35">
        <v>1.1779213447588448</v>
      </c>
      <c r="X6" s="35">
        <v>1.2128601544531579</v>
      </c>
      <c r="Y6" s="35">
        <v>1.7116462285164948</v>
      </c>
      <c r="Z6" s="35">
        <v>2.7710337447963185</v>
      </c>
      <c r="AA6" s="35">
        <v>3.3358983158509523</v>
      </c>
    </row>
    <row r="7" spans="1:27" ht="15">
      <c r="A7" s="35">
        <v>16</v>
      </c>
      <c r="B7" s="35">
        <v>0.3912245072206621</v>
      </c>
      <c r="C7" s="35">
        <v>0.9421514732307481</v>
      </c>
      <c r="D7" s="35">
        <v>1.2725439581872322</v>
      </c>
      <c r="E7" s="35">
        <v>1.8885660752996445</v>
      </c>
      <c r="F7" s="35">
        <v>2.176327271874647</v>
      </c>
      <c r="H7" s="35">
        <v>16</v>
      </c>
      <c r="I7" s="35">
        <v>0.5432965740881941</v>
      </c>
      <c r="J7" s="35">
        <v>1.0231509211555636</v>
      </c>
      <c r="K7" s="35">
        <v>1.4004378233316779</v>
      </c>
      <c r="L7" s="35">
        <v>2.135827547912239</v>
      </c>
      <c r="M7" s="35">
        <v>2.4960619347357604</v>
      </c>
      <c r="O7" s="35">
        <v>16</v>
      </c>
      <c r="P7" s="51">
        <v>0.7905198783253551</v>
      </c>
      <c r="Q7" s="35">
        <v>1.1126766267566754</v>
      </c>
      <c r="R7" s="35">
        <v>1.545384203828716</v>
      </c>
      <c r="S7" s="35">
        <v>2.4278518733253898</v>
      </c>
      <c r="T7" s="35">
        <v>2.877611965750023</v>
      </c>
      <c r="V7" s="35">
        <v>16</v>
      </c>
      <c r="W7" s="35">
        <v>1.204257847959367</v>
      </c>
      <c r="X7" s="35">
        <v>1.2128601544531579</v>
      </c>
      <c r="Y7" s="35">
        <v>1.7116462285164948</v>
      </c>
      <c r="Z7" s="35">
        <v>2.7710337447963185</v>
      </c>
      <c r="AA7" s="35">
        <v>3.3358983158509523</v>
      </c>
    </row>
    <row r="8" spans="1:27" ht="15">
      <c r="A8" s="35">
        <v>17</v>
      </c>
      <c r="B8" s="51">
        <v>0.39972015341437894</v>
      </c>
      <c r="C8" s="35">
        <v>0.9421514732307481</v>
      </c>
      <c r="D8" s="35">
        <v>1.2725439581872322</v>
      </c>
      <c r="E8" s="35">
        <v>1.8885660752996445</v>
      </c>
      <c r="F8" s="35">
        <v>2.176327271874647</v>
      </c>
      <c r="H8" s="35">
        <v>17</v>
      </c>
      <c r="I8" s="35">
        <v>0.5556152610690837</v>
      </c>
      <c r="J8" s="35">
        <v>1.0231509211555636</v>
      </c>
      <c r="K8" s="35">
        <v>1.4004378233316779</v>
      </c>
      <c r="L8" s="35">
        <v>2.135827547912239</v>
      </c>
      <c r="M8" s="35">
        <v>2.4960619347357604</v>
      </c>
      <c r="O8" s="35">
        <v>17</v>
      </c>
      <c r="P8" s="35">
        <v>0.8083607353321607</v>
      </c>
      <c r="Q8" s="35">
        <v>1.1126766267566754</v>
      </c>
      <c r="R8" s="35">
        <v>1.545384203828716</v>
      </c>
      <c r="S8" s="35">
        <v>2.4278518733253898</v>
      </c>
      <c r="T8" s="35">
        <v>2.877611965750023</v>
      </c>
      <c r="V8" s="35">
        <v>17</v>
      </c>
      <c r="W8" s="35">
        <v>1.231443915779261</v>
      </c>
      <c r="X8" s="35">
        <v>1.2128601544531579</v>
      </c>
      <c r="Y8" s="35">
        <v>1.7116462285164948</v>
      </c>
      <c r="Z8" s="35">
        <v>2.7710337447963185</v>
      </c>
      <c r="AA8" s="35">
        <v>3.3358983158509523</v>
      </c>
    </row>
    <row r="9" spans="1:27" ht="15">
      <c r="A9" s="35">
        <v>18</v>
      </c>
      <c r="B9" s="35">
        <v>0.40906536422746753</v>
      </c>
      <c r="C9" s="35">
        <v>0.9421514732307481</v>
      </c>
      <c r="D9" s="35">
        <v>1.2725439581872322</v>
      </c>
      <c r="E9" s="35">
        <v>1.8885660752996445</v>
      </c>
      <c r="F9" s="35">
        <v>2.176327271874647</v>
      </c>
      <c r="H9" s="35">
        <v>18</v>
      </c>
      <c r="I9" s="35">
        <v>0.567933948049973</v>
      </c>
      <c r="J9" s="35">
        <v>1.0231509211555636</v>
      </c>
      <c r="K9" s="35">
        <v>1.4004378233316779</v>
      </c>
      <c r="L9" s="35">
        <v>2.135827547912239</v>
      </c>
      <c r="M9" s="35">
        <v>2.4960619347357604</v>
      </c>
      <c r="O9" s="35">
        <v>18</v>
      </c>
      <c r="P9" s="35">
        <v>0.826626374648652</v>
      </c>
      <c r="Q9" s="35">
        <v>1.1126766267566754</v>
      </c>
      <c r="R9" s="35">
        <v>1.545384203828716</v>
      </c>
      <c r="S9" s="35">
        <v>2.4278518733253898</v>
      </c>
      <c r="T9" s="35">
        <v>2.877611965750023</v>
      </c>
      <c r="V9" s="35">
        <v>18</v>
      </c>
      <c r="W9" s="35">
        <v>1.259054765908841</v>
      </c>
      <c r="X9" s="35">
        <v>1.2128601544531579</v>
      </c>
      <c r="Y9" s="35">
        <v>1.7116462285164948</v>
      </c>
      <c r="Z9" s="35">
        <v>2.7710337447963185</v>
      </c>
      <c r="AA9" s="35">
        <v>3.3358983158509523</v>
      </c>
    </row>
    <row r="10" spans="1:27" ht="15">
      <c r="A10" s="35">
        <v>19</v>
      </c>
      <c r="B10" s="35">
        <v>0.4179857927308702</v>
      </c>
      <c r="C10" s="35">
        <v>0.9421514732307481</v>
      </c>
      <c r="D10" s="35">
        <v>1.2725439581872322</v>
      </c>
      <c r="E10" s="35">
        <v>1.8885660752996445</v>
      </c>
      <c r="F10" s="35">
        <v>2.176327271874647</v>
      </c>
      <c r="H10" s="35">
        <v>19</v>
      </c>
      <c r="I10" s="35">
        <v>0.5806774173405483</v>
      </c>
      <c r="J10" s="35">
        <v>1.0231509211555636</v>
      </c>
      <c r="K10" s="35">
        <v>1.4004378233316779</v>
      </c>
      <c r="L10" s="35">
        <v>2.135827547912239</v>
      </c>
      <c r="M10" s="35">
        <v>2.4960619347357604</v>
      </c>
      <c r="O10" s="35">
        <v>19</v>
      </c>
      <c r="P10" s="35">
        <v>0.845316796274829</v>
      </c>
      <c r="Q10" s="35">
        <v>1.1126766267566754</v>
      </c>
      <c r="R10" s="35">
        <v>1.545384203828716</v>
      </c>
      <c r="S10" s="35">
        <v>2.4278518733253898</v>
      </c>
      <c r="T10" s="35">
        <v>2.877611965750023</v>
      </c>
      <c r="V10" s="35">
        <v>19</v>
      </c>
      <c r="W10" s="35">
        <v>1.2875151806577922</v>
      </c>
      <c r="X10" s="35">
        <v>1.2128601544531579</v>
      </c>
      <c r="Y10" s="35">
        <v>1.7116462285164948</v>
      </c>
      <c r="Z10" s="35">
        <v>2.7710337447963185</v>
      </c>
      <c r="AA10" s="35">
        <v>3.3358983158509523</v>
      </c>
    </row>
    <row r="11" spans="1:27" ht="15">
      <c r="A11" s="35">
        <v>20</v>
      </c>
      <c r="B11" s="35">
        <v>0.4273310035439588</v>
      </c>
      <c r="C11" s="35">
        <v>0.9421514732307481</v>
      </c>
      <c r="D11" s="35">
        <v>1.2725439581872322</v>
      </c>
      <c r="E11" s="35">
        <v>1.8885660752996445</v>
      </c>
      <c r="F11" s="35">
        <v>2.176327271874647</v>
      </c>
      <c r="H11" s="35">
        <v>20</v>
      </c>
      <c r="I11" s="35">
        <v>0.5938456689408095</v>
      </c>
      <c r="J11" s="35">
        <v>1.0231509211555636</v>
      </c>
      <c r="K11" s="35">
        <v>1.4004378233316779</v>
      </c>
      <c r="L11" s="35">
        <v>2.135827547912239</v>
      </c>
      <c r="M11" s="35">
        <v>2.4960619347357604</v>
      </c>
      <c r="O11" s="35">
        <v>20</v>
      </c>
      <c r="P11" s="35">
        <v>0.8644320002106921</v>
      </c>
      <c r="Q11" s="35">
        <v>1.1126766267566754</v>
      </c>
      <c r="R11" s="35">
        <v>1.545384203828716</v>
      </c>
      <c r="S11" s="35">
        <v>2.4278518733253898</v>
      </c>
      <c r="T11" s="35">
        <v>2.877611965750023</v>
      </c>
      <c r="V11" s="35">
        <v>20</v>
      </c>
      <c r="W11" s="51">
        <v>1.3164003777164297</v>
      </c>
      <c r="X11" s="35">
        <v>1.2128601544531579</v>
      </c>
      <c r="Y11" s="35">
        <v>1.7116462285164948</v>
      </c>
      <c r="Z11" s="35">
        <v>2.7710337447963185</v>
      </c>
      <c r="AA11" s="35">
        <v>3.3358983158509523</v>
      </c>
    </row>
    <row r="12" spans="1:27" ht="15">
      <c r="A12" s="35">
        <v>21</v>
      </c>
      <c r="B12" s="35">
        <v>0.43710099666673313</v>
      </c>
      <c r="C12" s="35">
        <v>0.9421514732307481</v>
      </c>
      <c r="D12" s="35">
        <v>1.2725439581872322</v>
      </c>
      <c r="E12" s="35">
        <v>1.8885660752996445</v>
      </c>
      <c r="F12" s="35">
        <v>2.176327271874647</v>
      </c>
      <c r="H12" s="35">
        <v>21</v>
      </c>
      <c r="I12" s="35">
        <v>0.6074387028507565</v>
      </c>
      <c r="J12" s="35">
        <v>1.0231509211555636</v>
      </c>
      <c r="K12" s="35">
        <v>1.4004378233316779</v>
      </c>
      <c r="L12" s="35">
        <v>2.135827547912239</v>
      </c>
      <c r="M12" s="35">
        <v>2.4960619347357604</v>
      </c>
      <c r="O12" s="35">
        <v>21</v>
      </c>
      <c r="P12" s="35">
        <v>0.883547204146555</v>
      </c>
      <c r="Q12" s="35">
        <v>1.1126766267566754</v>
      </c>
      <c r="R12" s="35">
        <v>1.545384203828716</v>
      </c>
      <c r="S12" s="35">
        <v>2.4278518733253898</v>
      </c>
      <c r="T12" s="35">
        <v>2.877611965750023</v>
      </c>
      <c r="V12" s="35">
        <v>21</v>
      </c>
      <c r="W12" s="35">
        <v>1.3461351393944387</v>
      </c>
      <c r="X12" s="35">
        <v>1.2128601544531579</v>
      </c>
      <c r="Y12" s="35">
        <v>1.7116462285164948</v>
      </c>
      <c r="Z12" s="35">
        <v>2.7710337447963185</v>
      </c>
      <c r="AA12" s="35">
        <v>3.3358983158509523</v>
      </c>
    </row>
    <row r="13" spans="1:27" ht="15">
      <c r="A13" s="35">
        <v>22</v>
      </c>
      <c r="B13" s="35">
        <v>0.4860988742470892</v>
      </c>
      <c r="C13" s="35">
        <v>0.9430325574912285</v>
      </c>
      <c r="D13" s="35">
        <v>1.2740740095435767</v>
      </c>
      <c r="E13" s="35">
        <v>1.8904209235620932</v>
      </c>
      <c r="F13" s="35">
        <v>2.1779042898180796</v>
      </c>
      <c r="H13" s="35">
        <v>22</v>
      </c>
      <c r="I13" s="35">
        <v>0.672726120609811</v>
      </c>
      <c r="J13" s="35">
        <v>1.0236150162144975</v>
      </c>
      <c r="K13" s="35">
        <v>1.4003924583530254</v>
      </c>
      <c r="L13" s="35">
        <v>2.1365241083115363</v>
      </c>
      <c r="M13" s="35">
        <v>2.49587831613152</v>
      </c>
      <c r="O13" s="35">
        <v>22</v>
      </c>
      <c r="P13" s="51">
        <v>0.9734997990501973</v>
      </c>
      <c r="Q13" s="35">
        <v>1.1129090920970388</v>
      </c>
      <c r="R13" s="35">
        <v>1.5463120457708366</v>
      </c>
      <c r="S13" s="35">
        <v>2.428363283147159</v>
      </c>
      <c r="T13" s="35">
        <v>2.8770115668496836</v>
      </c>
      <c r="V13" s="35">
        <v>22</v>
      </c>
      <c r="W13" s="35">
        <v>1.4734872125614893</v>
      </c>
      <c r="X13" s="35">
        <v>1.2130926894286704</v>
      </c>
      <c r="Y13" s="35">
        <v>1.7096548675071925</v>
      </c>
      <c r="Z13" s="35">
        <v>2.7702942566485977</v>
      </c>
      <c r="AA13" s="35">
        <v>3.33437146771148</v>
      </c>
    </row>
    <row r="14" spans="1:27" ht="15">
      <c r="A14" s="35">
        <v>23</v>
      </c>
      <c r="B14" s="35">
        <v>0.497788346783675</v>
      </c>
      <c r="C14" s="35">
        <v>0.9417264985807314</v>
      </c>
      <c r="D14" s="35">
        <v>1.2734457616741803</v>
      </c>
      <c r="E14" s="35">
        <v>1.8901319084989148</v>
      </c>
      <c r="F14" s="35">
        <v>2.17732509600935</v>
      </c>
      <c r="H14" s="35">
        <v>23</v>
      </c>
      <c r="I14" s="35">
        <v>0.6859008771190389</v>
      </c>
      <c r="J14" s="51">
        <v>1.0240997384093058</v>
      </c>
      <c r="K14" s="35">
        <v>1.4003450770857684</v>
      </c>
      <c r="L14" s="35">
        <v>2.1372516279846385</v>
      </c>
      <c r="M14" s="35">
        <v>2.4956865364278955</v>
      </c>
      <c r="O14" s="35">
        <v>23</v>
      </c>
      <c r="P14" s="35">
        <v>0.9871471226325106</v>
      </c>
      <c r="Q14" s="35">
        <v>1.1131518895753325</v>
      </c>
      <c r="R14" s="35">
        <v>1.5472811265097124</v>
      </c>
      <c r="S14" s="35">
        <v>2.426671119274225</v>
      </c>
      <c r="T14" s="35">
        <v>2.8763844826626594</v>
      </c>
      <c r="V14" s="35">
        <v>23</v>
      </c>
      <c r="W14" s="35">
        <v>1.4844918077880362</v>
      </c>
      <c r="X14" s="35">
        <v>1.2133355596371125</v>
      </c>
      <c r="Y14" s="35">
        <v>1.7098013023877108</v>
      </c>
      <c r="Z14" s="35">
        <v>2.769521901263427</v>
      </c>
      <c r="AA14" s="35">
        <v>3.335003061167696</v>
      </c>
    </row>
    <row r="15" spans="1:27" ht="15">
      <c r="A15" s="35">
        <v>24</v>
      </c>
      <c r="B15" s="35">
        <v>0.5045642189554613</v>
      </c>
      <c r="C15" s="35">
        <v>0.942635828358311</v>
      </c>
      <c r="D15" s="35">
        <v>1.27278605809733</v>
      </c>
      <c r="E15" s="35">
        <v>1.8898254529888847</v>
      </c>
      <c r="F15" s="35">
        <v>2.176714618141414</v>
      </c>
      <c r="H15" s="35">
        <v>24</v>
      </c>
      <c r="I15" s="35">
        <v>0.6919608218588836</v>
      </c>
      <c r="J15" s="35">
        <v>1.0223272631229026</v>
      </c>
      <c r="K15" s="35">
        <v>1.4002923537206795</v>
      </c>
      <c r="L15" s="51">
        <v>2.1357304516910527</v>
      </c>
      <c r="M15" s="51">
        <v>2.49548035719978</v>
      </c>
      <c r="O15" s="35">
        <v>24</v>
      </c>
      <c r="P15" s="35">
        <v>0.990978645862165</v>
      </c>
      <c r="Q15" s="35">
        <v>1.11340318856815</v>
      </c>
      <c r="R15" s="35">
        <v>1.5460138344330754</v>
      </c>
      <c r="S15" s="35">
        <v>2.4271734131158444</v>
      </c>
      <c r="T15" s="35">
        <v>2.875722345933688</v>
      </c>
      <c r="V15" s="35">
        <v>24</v>
      </c>
      <c r="W15" s="35">
        <v>1.4805692863774016</v>
      </c>
      <c r="X15" s="35">
        <v>1.2135867065579222</v>
      </c>
      <c r="Y15" s="35">
        <v>1.7099505002345208</v>
      </c>
      <c r="Z15" s="35">
        <v>2.7709850316716533</v>
      </c>
      <c r="AA15" s="35">
        <v>3.3356557694321873</v>
      </c>
    </row>
    <row r="16" spans="1:27" ht="15">
      <c r="A16" s="35">
        <v>25</v>
      </c>
      <c r="B16" s="51">
        <v>0.5218697795610908</v>
      </c>
      <c r="C16" s="35">
        <v>0.9435896480061134</v>
      </c>
      <c r="D16" s="35">
        <v>1.272098636571205</v>
      </c>
      <c r="E16" s="35">
        <v>1.889509146994958</v>
      </c>
      <c r="F16" s="35">
        <v>2.17841066885362</v>
      </c>
      <c r="H16" s="35">
        <v>25</v>
      </c>
      <c r="I16" s="51">
        <v>0.7131601258059035</v>
      </c>
      <c r="J16" s="35">
        <v>1.0228045814189723</v>
      </c>
      <c r="K16" s="51">
        <v>1.400240440621418</v>
      </c>
      <c r="L16" s="35">
        <v>2.13647335116446</v>
      </c>
      <c r="M16" s="51">
        <v>2.495270402505056</v>
      </c>
      <c r="O16" s="35">
        <v>25</v>
      </c>
      <c r="P16" s="35">
        <v>1.0158817417078885</v>
      </c>
      <c r="Q16" s="35">
        <v>1.1136687697454872</v>
      </c>
      <c r="R16" s="35">
        <v>1.54702105253348</v>
      </c>
      <c r="S16" s="35">
        <v>2.427704724005853</v>
      </c>
      <c r="T16" s="35">
        <v>2.8773659636729634</v>
      </c>
      <c r="V16" s="35">
        <v>25</v>
      </c>
      <c r="W16" s="35">
        <v>1.5075722190701617</v>
      </c>
      <c r="X16" s="35">
        <v>1.2138523620029265</v>
      </c>
      <c r="Y16" s="35">
        <v>1.71011062132466</v>
      </c>
      <c r="Z16" s="35">
        <v>2.770192818467331</v>
      </c>
      <c r="AA16" s="35">
        <v>3.334016756288268</v>
      </c>
    </row>
    <row r="17" spans="1:27" ht="15">
      <c r="A17" s="35">
        <v>26</v>
      </c>
      <c r="B17" s="35">
        <v>0.4943658925562282</v>
      </c>
      <c r="C17" s="35">
        <v>0.9422035636762636</v>
      </c>
      <c r="D17" s="35">
        <v>1.2737638050712017</v>
      </c>
      <c r="E17" s="35">
        <v>1.8891777783078498</v>
      </c>
      <c r="F17" s="35">
        <v>2.177802161104883</v>
      </c>
      <c r="H17" s="35">
        <v>26</v>
      </c>
      <c r="I17" s="35">
        <v>0.6730981767880954</v>
      </c>
      <c r="J17" s="35">
        <v>1.023304629916752</v>
      </c>
      <c r="K17" s="35">
        <v>1.4001860553872576</v>
      </c>
      <c r="L17" s="35">
        <v>2.1372516279846385</v>
      </c>
      <c r="M17" s="51">
        <v>2.495050449633853</v>
      </c>
      <c r="O17" s="35">
        <v>26</v>
      </c>
      <c r="P17" s="35">
        <v>0.9535557504498016</v>
      </c>
      <c r="Q17" s="35">
        <v>1.1139469980678864</v>
      </c>
      <c r="R17" s="35">
        <v>1.5456909095246048</v>
      </c>
      <c r="S17" s="35">
        <v>2.4282613362593324</v>
      </c>
      <c r="T17" s="35">
        <v>2.8767025260596806</v>
      </c>
      <c r="V17" s="35">
        <v>26</v>
      </c>
      <c r="W17" s="35">
        <v>1.4060906828666566</v>
      </c>
      <c r="X17" s="35">
        <v>1.2117453426520048</v>
      </c>
      <c r="Y17" s="35">
        <v>1.7102783674832431</v>
      </c>
      <c r="Z17" s="35">
        <v>2.769362879564916</v>
      </c>
      <c r="AA17" s="35">
        <v>3.3346850177706746</v>
      </c>
    </row>
    <row r="18" spans="1:27" ht="15">
      <c r="A18" s="35">
        <v>27</v>
      </c>
      <c r="B18" s="35">
        <v>0.5317447216301774</v>
      </c>
      <c r="C18" s="35">
        <v>0.9431910646085879</v>
      </c>
      <c r="D18" s="35">
        <v>1.2730635872048557</v>
      </c>
      <c r="E18" s="35">
        <v>1.8888256293845558</v>
      </c>
      <c r="F18" s="35">
        <v>2.1771586491353676</v>
      </c>
      <c r="H18" s="35">
        <v>27</v>
      </c>
      <c r="I18" s="35">
        <v>0.7201927136364765</v>
      </c>
      <c r="J18" s="35">
        <v>1.02382657013212</v>
      </c>
      <c r="K18" s="35">
        <v>1.4001255959086036</v>
      </c>
      <c r="L18" s="35">
        <v>2.1356191462899115</v>
      </c>
      <c r="M18" s="35">
        <v>2.494813670894737</v>
      </c>
      <c r="O18" s="35">
        <v>27</v>
      </c>
      <c r="P18" s="35">
        <v>1.0152818173982785</v>
      </c>
      <c r="Q18" s="35">
        <v>1.1142360763251713</v>
      </c>
      <c r="R18" s="35">
        <v>1.546735605951389</v>
      </c>
      <c r="S18" s="35">
        <v>2.426395666208103</v>
      </c>
      <c r="T18" s="51">
        <v>2.8759996970059793</v>
      </c>
      <c r="V18" s="35">
        <v>27</v>
      </c>
      <c r="W18" s="35">
        <v>1.4876191617034726</v>
      </c>
      <c r="X18" s="35">
        <v>1.2119760830203616</v>
      </c>
      <c r="Y18" s="35">
        <v>1.710450117165833</v>
      </c>
      <c r="Z18" s="35">
        <v>2.77092918980865</v>
      </c>
      <c r="AA18" s="35">
        <v>3.3353777284733748</v>
      </c>
    </row>
    <row r="19" spans="1:27" ht="15">
      <c r="A19" s="35">
        <v>28</v>
      </c>
      <c r="B19" s="35">
        <v>0.5540224274268054</v>
      </c>
      <c r="C19" s="35">
        <v>0.9417257123679141</v>
      </c>
      <c r="D19" s="35">
        <v>1.2723315475609054</v>
      </c>
      <c r="E19" s="35">
        <v>1.8884606040569343</v>
      </c>
      <c r="F19" s="35">
        <v>2.1764884150205246</v>
      </c>
      <c r="H19" s="35">
        <v>28</v>
      </c>
      <c r="I19" s="35">
        <v>0.7476807173741933</v>
      </c>
      <c r="J19" s="35">
        <v>1.024377171166162</v>
      </c>
      <c r="K19" s="35">
        <v>1.4000656202491064</v>
      </c>
      <c r="L19" s="35">
        <v>2.1364149804516774</v>
      </c>
      <c r="M19" s="35">
        <v>2.4945713019107516</v>
      </c>
      <c r="O19" s="35">
        <v>28</v>
      </c>
      <c r="P19" s="35">
        <v>1.0481505383750371</v>
      </c>
      <c r="Q19" s="35">
        <v>1.1120378092855157</v>
      </c>
      <c r="R19" s="35">
        <v>1.5453318205611783</v>
      </c>
      <c r="S19" s="35">
        <v>2.4269473810758213</v>
      </c>
      <c r="T19" s="35">
        <v>2.877773519975355</v>
      </c>
      <c r="V19" s="35">
        <v>28</v>
      </c>
      <c r="W19" s="35">
        <v>1.5258077122916613</v>
      </c>
      <c r="X19" s="35">
        <v>1.2122213957076342</v>
      </c>
      <c r="Y19" s="35">
        <v>1.710634738157674</v>
      </c>
      <c r="Z19" s="35">
        <v>2.7700761645715777</v>
      </c>
      <c r="AA19" s="35">
        <v>3.336113427856547</v>
      </c>
    </row>
    <row r="20" spans="1:27" ht="15">
      <c r="A20" s="35">
        <v>29</v>
      </c>
      <c r="B20" s="35">
        <v>0.5549182186715647</v>
      </c>
      <c r="C20" s="35">
        <v>0.9427540234018779</v>
      </c>
      <c r="D20" s="35">
        <v>1.2741307782216114</v>
      </c>
      <c r="E20" s="35">
        <v>1.8906456709094879</v>
      </c>
      <c r="F20" s="35">
        <v>2.178352620830497</v>
      </c>
      <c r="H20" s="35">
        <v>29</v>
      </c>
      <c r="I20" s="35">
        <v>0.7453514081049799</v>
      </c>
      <c r="J20" s="35">
        <v>1.0223871970407286</v>
      </c>
      <c r="K20" s="35">
        <v>1.402571380864919</v>
      </c>
      <c r="L20" s="35">
        <v>2.1372516279846385</v>
      </c>
      <c r="M20" s="35">
        <v>2.494316503333034</v>
      </c>
      <c r="O20" s="35">
        <v>29</v>
      </c>
      <c r="P20" s="35">
        <v>1.0397037842453394</v>
      </c>
      <c r="Q20" s="35">
        <v>1.1122956188910438</v>
      </c>
      <c r="R20" s="35">
        <v>1.5464248558254234</v>
      </c>
      <c r="S20" s="35">
        <v>2.4275273899585135</v>
      </c>
      <c r="T20" s="35">
        <v>2.8770694992100903</v>
      </c>
      <c r="V20" s="35">
        <v>29</v>
      </c>
      <c r="W20" s="35">
        <v>1.5035007456073668</v>
      </c>
      <c r="X20" s="35">
        <v>1.2124792889528238</v>
      </c>
      <c r="Y20" s="35">
        <v>1.7108288272088574</v>
      </c>
      <c r="Z20" s="35">
        <v>2.7691793929897117</v>
      </c>
      <c r="AA20" s="35">
        <v>3.3343180446202654</v>
      </c>
    </row>
    <row r="21" spans="1:27" ht="15">
      <c r="A21" s="35">
        <v>30</v>
      </c>
      <c r="B21" s="35">
        <v>0.6073492410498736</v>
      </c>
      <c r="C21" s="35">
        <v>0.9438339695864003</v>
      </c>
      <c r="D21" s="35">
        <v>1.273384936620758</v>
      </c>
      <c r="E21" s="35">
        <v>1.8903043469090757</v>
      </c>
      <c r="F21" s="35">
        <v>2.1776727901630357</v>
      </c>
      <c r="H21" s="35">
        <v>30</v>
      </c>
      <c r="I21" s="35">
        <v>0.8133015788453325</v>
      </c>
      <c r="J21" s="35">
        <v>1.022926201674646</v>
      </c>
      <c r="K21" s="35">
        <v>1.4025689156982264</v>
      </c>
      <c r="L21" s="51">
        <v>2.1354902663826376</v>
      </c>
      <c r="M21" s="35">
        <v>2.494041718516019</v>
      </c>
      <c r="O21" s="35">
        <v>30</v>
      </c>
      <c r="P21" s="35">
        <v>1.1280093603235972</v>
      </c>
      <c r="Q21" s="35">
        <v>1.1125640647079915</v>
      </c>
      <c r="R21" s="35">
        <v>1.5475713411933438</v>
      </c>
      <c r="S21" s="35">
        <v>2.4281315251091478</v>
      </c>
      <c r="T21" s="35">
        <v>2.876320840275874</v>
      </c>
      <c r="V21" s="35">
        <v>30</v>
      </c>
      <c r="W21" s="35">
        <v>1.6208238829055885</v>
      </c>
      <c r="X21" s="35">
        <v>1.2127475586864362</v>
      </c>
      <c r="Y21" s="35">
        <v>1.7110286208423853</v>
      </c>
      <c r="Z21" s="35">
        <v>2.770864530824879</v>
      </c>
      <c r="AA21" s="35">
        <v>3.3350557863876995</v>
      </c>
    </row>
    <row r="22" spans="1:27" ht="15">
      <c r="A22" s="35">
        <v>31</v>
      </c>
      <c r="B22" s="51">
        <v>0.6431895293924664</v>
      </c>
      <c r="C22" s="35">
        <v>0.9422671814839084</v>
      </c>
      <c r="D22" s="35">
        <v>1.2726022278661981</v>
      </c>
      <c r="E22" s="51">
        <v>1.8899496915970349</v>
      </c>
      <c r="F22" s="35">
        <v>2.1769621089455815</v>
      </c>
      <c r="H22" s="35">
        <v>31</v>
      </c>
      <c r="I22" s="35">
        <v>0.8574061763461656</v>
      </c>
      <c r="J22" s="35">
        <v>1.0234971109221764</v>
      </c>
      <c r="K22" s="51">
        <v>1.4025701149674268</v>
      </c>
      <c r="L22" s="35">
        <v>2.1363471442264474</v>
      </c>
      <c r="M22" s="35">
        <v>2.4964664980694358</v>
      </c>
      <c r="O22" s="35">
        <v>31</v>
      </c>
      <c r="P22" s="35">
        <v>1.1833176492933548</v>
      </c>
      <c r="Q22" s="35">
        <v>1.1128500333042712</v>
      </c>
      <c r="R22" s="35">
        <v>1.5460763236417001</v>
      </c>
      <c r="S22" s="35">
        <v>2.4287748902042123</v>
      </c>
      <c r="T22" s="51">
        <v>2.8755395021146857</v>
      </c>
      <c r="V22" s="35">
        <v>31</v>
      </c>
      <c r="W22" s="35">
        <v>1.6894516917179636</v>
      </c>
      <c r="X22" s="35">
        <v>1.2130336129448018</v>
      </c>
      <c r="Y22" s="35">
        <v>1.7112438468328453</v>
      </c>
      <c r="Z22" s="35">
        <v>2.7699405938449377</v>
      </c>
      <c r="AA22" s="35">
        <v>3.3358424355982046</v>
      </c>
    </row>
    <row r="23" spans="1:27" ht="15">
      <c r="A23" s="35">
        <v>32</v>
      </c>
      <c r="B23" s="35">
        <v>0.675474828857527</v>
      </c>
      <c r="C23" s="35">
        <v>0.9433962264150944</v>
      </c>
      <c r="D23" s="35">
        <v>1.2717760338398174</v>
      </c>
      <c r="E23" s="35">
        <v>1.889575332554127</v>
      </c>
      <c r="F23" s="35">
        <v>2.176211944119775</v>
      </c>
      <c r="H23" s="35">
        <v>32</v>
      </c>
      <c r="I23" s="35">
        <v>0.896196488861875</v>
      </c>
      <c r="J23" s="51">
        <v>1.024099738409306</v>
      </c>
      <c r="K23" s="35">
        <v>1.402571380864919</v>
      </c>
      <c r="L23" s="35">
        <v>2.1372516279846385</v>
      </c>
      <c r="M23" s="35">
        <v>2.4962431123726834</v>
      </c>
      <c r="O23" s="35">
        <v>32</v>
      </c>
      <c r="P23" s="35">
        <v>1.2300518640443308</v>
      </c>
      <c r="Q23" s="35">
        <v>1.1131518895753325</v>
      </c>
      <c r="R23" s="35">
        <v>1.5472811265097122</v>
      </c>
      <c r="S23" s="35">
        <v>2.426671119274225</v>
      </c>
      <c r="T23" s="35">
        <v>2.8774976345522347</v>
      </c>
      <c r="V23" s="35">
        <v>32</v>
      </c>
      <c r="W23" s="35">
        <v>1.7452539297328715</v>
      </c>
      <c r="X23" s="35">
        <v>1.2133355596371125</v>
      </c>
      <c r="Y23" s="35">
        <v>1.7114710302220737</v>
      </c>
      <c r="Z23" s="35">
        <v>2.7689653253186397</v>
      </c>
      <c r="AA23" s="35">
        <v>3.3338899092781213</v>
      </c>
    </row>
    <row r="24" spans="1:27" ht="15">
      <c r="A24" s="35">
        <v>33</v>
      </c>
      <c r="B24" s="35">
        <v>0.734133141063084</v>
      </c>
      <c r="C24" s="35">
        <v>0.9417247015247925</v>
      </c>
      <c r="D24" s="35">
        <v>1.2737613744028349</v>
      </c>
      <c r="E24" s="35">
        <v>1.88917417327162</v>
      </c>
      <c r="F24" s="35">
        <v>2.1782750694843984</v>
      </c>
      <c r="H24" s="35">
        <v>33</v>
      </c>
      <c r="I24" s="35">
        <v>0.9702878577686916</v>
      </c>
      <c r="J24" s="35">
        <v>1.0247338697443031</v>
      </c>
      <c r="K24" s="35">
        <v>1.4025687043986272</v>
      </c>
      <c r="L24" s="35">
        <v>2.138201677930152</v>
      </c>
      <c r="M24" s="51">
        <v>2.495999816807353</v>
      </c>
      <c r="O24" s="35">
        <v>33</v>
      </c>
      <c r="P24" s="51">
        <v>1.3245199328271027</v>
      </c>
      <c r="Q24" s="35">
        <v>1.113467808185849</v>
      </c>
      <c r="R24" s="35">
        <v>1.5456879599495075</v>
      </c>
      <c r="S24" s="35">
        <v>2.42730257414293</v>
      </c>
      <c r="T24" s="35">
        <v>2.8766970365726947</v>
      </c>
      <c r="V24" s="35">
        <v>33</v>
      </c>
      <c r="W24" s="35">
        <v>1.8675616968457944</v>
      </c>
      <c r="X24" s="35">
        <v>1.213651287071465</v>
      </c>
      <c r="Y24" s="35">
        <v>1.7117062963885288</v>
      </c>
      <c r="Z24" s="35">
        <v>2.770788787465043</v>
      </c>
      <c r="AA24" s="35">
        <v>3.334678654335512</v>
      </c>
    </row>
    <row r="25" spans="1:27" ht="15">
      <c r="A25" s="35">
        <v>34</v>
      </c>
      <c r="B25" s="35">
        <v>0.7886083382266588</v>
      </c>
      <c r="C25" s="35">
        <v>0.9429042038794615</v>
      </c>
      <c r="D25" s="35">
        <v>1.272920675237273</v>
      </c>
      <c r="E25" s="35">
        <v>1.8887549833960464</v>
      </c>
      <c r="F25" s="35">
        <v>2.1775193958341315</v>
      </c>
      <c r="H25" s="35">
        <v>34</v>
      </c>
      <c r="I25" s="35">
        <v>1.0375807398708163</v>
      </c>
      <c r="J25" s="35">
        <v>1.022461746081791</v>
      </c>
      <c r="K25" s="51">
        <v>1.402570003270699</v>
      </c>
      <c r="L25" s="35">
        <v>2.136267336914405</v>
      </c>
      <c r="M25" s="51">
        <v>2.4957495646434498</v>
      </c>
      <c r="O25" s="35">
        <v>34</v>
      </c>
      <c r="P25" s="35">
        <v>1.4092777451556078</v>
      </c>
      <c r="Q25" s="35">
        <v>1.1138055908326139</v>
      </c>
      <c r="R25" s="35">
        <v>1.5469522094897414</v>
      </c>
      <c r="S25" s="35">
        <v>2.4279783249896134</v>
      </c>
      <c r="T25" s="35">
        <v>2.875857821832357</v>
      </c>
      <c r="V25" s="35">
        <v>34</v>
      </c>
      <c r="W25" s="35">
        <v>1.9741632413388137</v>
      </c>
      <c r="X25" s="35">
        <v>1.2139891624948067</v>
      </c>
      <c r="Y25" s="35">
        <v>1.7119604451686472</v>
      </c>
      <c r="Z25" s="35">
        <v>2.769781098895918</v>
      </c>
      <c r="AA25" s="35">
        <v>3.335523621223595</v>
      </c>
    </row>
    <row r="26" spans="1:27" ht="15">
      <c r="A26" s="35">
        <v>35</v>
      </c>
      <c r="B26" s="35">
        <v>0.8324707137891877</v>
      </c>
      <c r="C26" s="35">
        <v>0.9411193248227813</v>
      </c>
      <c r="D26" s="35">
        <v>1.2720290229056301</v>
      </c>
      <c r="E26" s="51">
        <v>1.8883103872250642</v>
      </c>
      <c r="F26" s="35">
        <v>2.1767179222514006</v>
      </c>
      <c r="H26" s="35">
        <v>35</v>
      </c>
      <c r="I26" s="35">
        <v>1.090802832094408</v>
      </c>
      <c r="J26" s="35">
        <v>1.0230877821460558</v>
      </c>
      <c r="K26" s="35">
        <v>1.402571380864919</v>
      </c>
      <c r="L26" s="35">
        <v>2.1372516279846385</v>
      </c>
      <c r="M26" s="35">
        <v>2.495484145175246</v>
      </c>
      <c r="O26" s="35">
        <v>35</v>
      </c>
      <c r="P26" s="35">
        <v>1.4737635601674863</v>
      </c>
      <c r="Q26" s="35">
        <v>1.1141638458385827</v>
      </c>
      <c r="R26" s="35">
        <v>1.5452572139832117</v>
      </c>
      <c r="S26" s="35">
        <v>2.4286950318007254</v>
      </c>
      <c r="T26" s="35">
        <v>2.8780036126838597</v>
      </c>
      <c r="V26" s="35">
        <v>35</v>
      </c>
      <c r="W26" s="35">
        <v>2.051532115159255</v>
      </c>
      <c r="X26" s="35">
        <v>1.211311647110612</v>
      </c>
      <c r="Y26" s="35">
        <v>1.7091941286297607</v>
      </c>
      <c r="Z26" s="35">
        <v>2.7717482050425786</v>
      </c>
      <c r="AA26" s="51">
        <v>3.3364197999362473</v>
      </c>
    </row>
    <row r="27" spans="1:27" ht="15">
      <c r="A27" s="35">
        <v>36</v>
      </c>
      <c r="B27" s="35">
        <v>0.9077733474001809</v>
      </c>
      <c r="C27" s="35">
        <v>0.942350679682168</v>
      </c>
      <c r="D27" s="35">
        <v>1.2742083941217357</v>
      </c>
      <c r="E27" s="35">
        <v>1.8909628256745166</v>
      </c>
      <c r="F27" s="51">
        <v>2.1758595427877303</v>
      </c>
      <c r="H27" s="35">
        <v>36</v>
      </c>
      <c r="I27" s="35">
        <v>1.1841606964711637</v>
      </c>
      <c r="J27" s="51">
        <v>1.0237497417145147</v>
      </c>
      <c r="K27" s="35">
        <v>1.4025684534804361</v>
      </c>
      <c r="L27" s="35">
        <v>2.138290744926647</v>
      </c>
      <c r="M27" s="35">
        <v>2.4951943246069366</v>
      </c>
      <c r="O27" s="35">
        <v>36</v>
      </c>
      <c r="P27" s="35">
        <v>1.5909429799796984</v>
      </c>
      <c r="Q27" s="35">
        <v>1.1145410032121323</v>
      </c>
      <c r="R27" s="35">
        <v>1.5465821786145881</v>
      </c>
      <c r="S27" s="35">
        <v>2.4263181951949506</v>
      </c>
      <c r="T27" s="35">
        <v>2.877143769527948</v>
      </c>
      <c r="V27" s="35">
        <v>36</v>
      </c>
      <c r="W27" s="35">
        <v>2.2011164052425003</v>
      </c>
      <c r="X27" s="35">
        <v>1.2115937310199303</v>
      </c>
      <c r="Y27" s="35">
        <v>1.7093803026792815</v>
      </c>
      <c r="Z27" s="35">
        <v>2.7706988422548795</v>
      </c>
      <c r="AA27" s="35">
        <v>3.334230810171126</v>
      </c>
    </row>
    <row r="28" spans="1:27" ht="15">
      <c r="A28" s="35">
        <v>37</v>
      </c>
      <c r="B28" s="35">
        <v>0.987934193535922</v>
      </c>
      <c r="C28" s="35">
        <v>0.9436645207994001</v>
      </c>
      <c r="D28" s="35">
        <v>1.2733007575169988</v>
      </c>
      <c r="E28" s="35">
        <v>1.890560769409757</v>
      </c>
      <c r="F28" s="35">
        <v>2.1781845445849166</v>
      </c>
      <c r="H28" s="35">
        <v>37</v>
      </c>
      <c r="I28" s="35">
        <v>1.2835416217190958</v>
      </c>
      <c r="J28" s="35">
        <v>1.0244577160733215</v>
      </c>
      <c r="K28" s="51">
        <v>1.4025698699552727</v>
      </c>
      <c r="L28" s="35">
        <v>2.136172083042478</v>
      </c>
      <c r="M28" s="35">
        <v>2.494893870058688</v>
      </c>
      <c r="O28" s="35">
        <v>37</v>
      </c>
      <c r="P28" s="35">
        <v>1.7150383033808088</v>
      </c>
      <c r="Q28" s="35">
        <v>1.1117143669691563</v>
      </c>
      <c r="R28" s="35">
        <v>1.5447658936373743</v>
      </c>
      <c r="S28" s="35">
        <v>2.4270275860285944</v>
      </c>
      <c r="T28" s="35">
        <v>2.8762377517515967</v>
      </c>
      <c r="V28" s="35">
        <v>37</v>
      </c>
      <c r="W28" s="35">
        <v>2.358419176485363</v>
      </c>
      <c r="X28" s="35">
        <v>1.2118979291088188</v>
      </c>
      <c r="Y28" s="35">
        <v>1.7095840119961734</v>
      </c>
      <c r="Z28" s="35">
        <v>2.7695907339900203</v>
      </c>
      <c r="AA28" s="35">
        <v>3.335143100907469</v>
      </c>
    </row>
    <row r="29" spans="1:27" ht="15">
      <c r="A29" s="35">
        <v>38</v>
      </c>
      <c r="B29" s="35">
        <v>1.097396793791223</v>
      </c>
      <c r="C29" s="35">
        <v>0.9417264985807313</v>
      </c>
      <c r="D29" s="35">
        <v>1.272332609784605</v>
      </c>
      <c r="E29" s="35">
        <v>1.8901319084989148</v>
      </c>
      <c r="F29" s="35">
        <v>2.17732509600935</v>
      </c>
      <c r="H29" s="35">
        <v>38</v>
      </c>
      <c r="I29" s="35">
        <v>1.419495064376397</v>
      </c>
      <c r="J29" s="35">
        <v>1.0218734346301555</v>
      </c>
      <c r="K29" s="35">
        <v>1.402571380864919</v>
      </c>
      <c r="L29" s="35">
        <v>2.1372516279846385</v>
      </c>
      <c r="M29" s="35">
        <v>2.4945733845383202</v>
      </c>
      <c r="O29" s="35">
        <v>38</v>
      </c>
      <c r="P29" s="35">
        <v>1.886670655183819</v>
      </c>
      <c r="Q29" s="35">
        <v>1.1120387376857572</v>
      </c>
      <c r="R29" s="35">
        <v>1.5461679746201369</v>
      </c>
      <c r="S29" s="35">
        <v>2.4277842711638002</v>
      </c>
      <c r="T29" s="35">
        <v>2.8752713307730837</v>
      </c>
      <c r="V29" s="35">
        <v>38</v>
      </c>
      <c r="W29" s="35">
        <v>2.578117149270587</v>
      </c>
      <c r="X29" s="35">
        <v>1.2122224077475372</v>
      </c>
      <c r="Y29" s="35">
        <v>1.7098013023877108</v>
      </c>
      <c r="Z29" s="35">
        <v>2.7717482050425786</v>
      </c>
      <c r="AA29" s="35">
        <v>3.3361162130572715</v>
      </c>
    </row>
    <row r="30" spans="1:27" ht="15">
      <c r="A30" s="35">
        <v>39</v>
      </c>
      <c r="B30" s="35">
        <v>1.1910015359100732</v>
      </c>
      <c r="C30" s="35">
        <v>0.9431061702634824</v>
      </c>
      <c r="D30" s="35">
        <v>1.2747479004660256</v>
      </c>
      <c r="E30" s="35">
        <v>1.8896669418832412</v>
      </c>
      <c r="F30" s="35">
        <v>2.17639885445419</v>
      </c>
      <c r="H30" s="35">
        <v>39</v>
      </c>
      <c r="I30" s="35">
        <v>1.533844752605574</v>
      </c>
      <c r="J30" s="35">
        <v>1.0225620014578418</v>
      </c>
      <c r="K30" s="35">
        <v>1.4025681506482557</v>
      </c>
      <c r="L30" s="35">
        <v>2.1383982395351486</v>
      </c>
      <c r="M30" s="35">
        <v>2.4942221792316275</v>
      </c>
      <c r="O30" s="35">
        <v>39</v>
      </c>
      <c r="P30" s="35">
        <v>2.0288332522121304</v>
      </c>
      <c r="Q30" s="35">
        <v>1.1123816367210306</v>
      </c>
      <c r="R30" s="35">
        <v>1.5476614076118689</v>
      </c>
      <c r="S30" s="35">
        <v>2.428584753462374</v>
      </c>
      <c r="T30" s="35">
        <v>2.877682929778318</v>
      </c>
      <c r="V30" s="35">
        <v>39</v>
      </c>
      <c r="W30" s="35">
        <v>2.754449216864857</v>
      </c>
      <c r="X30" s="35">
        <v>1.2125650760530486</v>
      </c>
      <c r="Y30" s="35">
        <v>1.7100276713568638</v>
      </c>
      <c r="Z30" s="35">
        <v>2.770590287733747</v>
      </c>
      <c r="AA30" s="51">
        <v>3.3336903088068155</v>
      </c>
    </row>
    <row r="31" spans="1:27" ht="15">
      <c r="A31" s="35">
        <v>40</v>
      </c>
      <c r="B31" s="35">
        <v>1.311971022553067</v>
      </c>
      <c r="C31" s="51">
        <v>0.941009778630133</v>
      </c>
      <c r="D31" s="35">
        <v>1.2737622859023854</v>
      </c>
      <c r="E31" s="35">
        <v>1.8891755251585942</v>
      </c>
      <c r="F31" s="35">
        <v>2.1789922250408784</v>
      </c>
      <c r="H31" s="35">
        <v>40</v>
      </c>
      <c r="I31" s="35">
        <v>1.6827454419702381</v>
      </c>
      <c r="J31" s="35">
        <v>1.0233034094609053</v>
      </c>
      <c r="K31" s="51">
        <v>1.4025697080722896</v>
      </c>
      <c r="L31" s="35">
        <v>2.1360564176509103</v>
      </c>
      <c r="M31" s="35">
        <v>2.493854812567311</v>
      </c>
      <c r="O31" s="35">
        <v>40</v>
      </c>
      <c r="P31" s="35">
        <v>2.213951100558301</v>
      </c>
      <c r="Q31" s="35">
        <v>1.1127530081900052</v>
      </c>
      <c r="R31" s="35">
        <v>1.54568906603885</v>
      </c>
      <c r="S31" s="35">
        <v>2.425873117533195</v>
      </c>
      <c r="T31" s="35">
        <v>2.8766990951278593</v>
      </c>
      <c r="V31" s="35">
        <v>40</v>
      </c>
      <c r="W31" s="35">
        <v>2.987586187226821</v>
      </c>
      <c r="X31" s="35">
        <v>1.2129365587665975</v>
      </c>
      <c r="Y31" s="35">
        <v>1.710276327700394</v>
      </c>
      <c r="Z31" s="35">
        <v>2.7693595766529393</v>
      </c>
      <c r="AA31" s="35">
        <v>3.3346810406208522</v>
      </c>
    </row>
    <row r="32" spans="1:27" ht="15">
      <c r="A32" s="35">
        <v>41</v>
      </c>
      <c r="B32" s="35">
        <v>1.4603861926585833</v>
      </c>
      <c r="C32" s="35">
        <v>0.9424685998404482</v>
      </c>
      <c r="D32" s="35">
        <v>1.2727036604144637</v>
      </c>
      <c r="E32" s="35">
        <v>1.8886477059794806</v>
      </c>
      <c r="F32" s="35">
        <v>2.1780671972690673</v>
      </c>
      <c r="H32" s="35">
        <v>41</v>
      </c>
      <c r="I32" s="35">
        <v>1.8641182742745765</v>
      </c>
      <c r="J32" s="51">
        <v>1.0240997384093058</v>
      </c>
      <c r="K32" s="35">
        <v>1.402571380864919</v>
      </c>
      <c r="L32" s="35">
        <v>2.1372516279846385</v>
      </c>
      <c r="M32" s="51">
        <v>2.493460232648745</v>
      </c>
      <c r="O32" s="35">
        <v>41</v>
      </c>
      <c r="P32" s="35">
        <v>2.4401389548219363</v>
      </c>
      <c r="Q32" s="35">
        <v>1.1131518895753323</v>
      </c>
      <c r="R32" s="35">
        <v>1.5472811265097122</v>
      </c>
      <c r="S32" s="35">
        <v>2.4266711192742245</v>
      </c>
      <c r="T32" s="35">
        <v>2.875642381402942</v>
      </c>
      <c r="V32" s="35">
        <v>41</v>
      </c>
      <c r="W32" s="35">
        <v>3.2727439436490577</v>
      </c>
      <c r="X32" s="35">
        <v>1.2133355596371123</v>
      </c>
      <c r="Y32" s="35">
        <v>1.7105434036474276</v>
      </c>
      <c r="Z32" s="35">
        <v>2.7717482050425777</v>
      </c>
      <c r="AA32" s="35">
        <v>3.335745162427413</v>
      </c>
    </row>
    <row r="33" spans="1:27" ht="15">
      <c r="A33" s="35">
        <v>42</v>
      </c>
      <c r="B33" s="35">
        <v>1.6217536132394068</v>
      </c>
      <c r="C33" s="35">
        <v>0.9440360043772447</v>
      </c>
      <c r="D33" s="35">
        <v>1.2715586997734314</v>
      </c>
      <c r="E33" s="35">
        <v>1.8880720087544893</v>
      </c>
      <c r="F33" s="35">
        <v>2.1770626223393603</v>
      </c>
      <c r="H33" s="35">
        <v>42</v>
      </c>
      <c r="I33" s="35">
        <v>2.0625143016861016</v>
      </c>
      <c r="J33" s="35">
        <v>1.0249533761810086</v>
      </c>
      <c r="K33" s="35">
        <v>1.4025677779319063</v>
      </c>
      <c r="L33" s="35">
        <v>2.138530540528044</v>
      </c>
      <c r="M33" s="35">
        <v>2.4968789013732837</v>
      </c>
      <c r="O33" s="35">
        <v>42</v>
      </c>
      <c r="P33" s="35">
        <v>2.684493670400079</v>
      </c>
      <c r="Q33" s="35">
        <v>1.1135771643470356</v>
      </c>
      <c r="R33" s="35">
        <v>1.5451364806337757</v>
      </c>
      <c r="S33" s="35">
        <v>2.4275211541129145</v>
      </c>
      <c r="T33" s="35">
        <v>2.8783465113053133</v>
      </c>
      <c r="V33" s="35">
        <v>42</v>
      </c>
      <c r="W33" s="35">
        <v>3.579068935278823</v>
      </c>
      <c r="X33" s="35">
        <v>1.2137605770564572</v>
      </c>
      <c r="Y33" s="35">
        <v>1.7108244324224353</v>
      </c>
      <c r="Z33" s="35">
        <v>2.770456682233628</v>
      </c>
      <c r="AA33" s="35">
        <v>3.3368782848599747</v>
      </c>
    </row>
    <row r="34" spans="1:27" ht="15">
      <c r="A34" s="35">
        <v>43</v>
      </c>
      <c r="B34" s="35">
        <v>1.8016205001413506</v>
      </c>
      <c r="C34" s="35">
        <v>0.941725240640854</v>
      </c>
      <c r="D34" s="35">
        <v>1.2743345809523048</v>
      </c>
      <c r="E34" s="35">
        <v>1.891465164180779</v>
      </c>
      <c r="F34" s="35">
        <v>2.175986407097803</v>
      </c>
      <c r="H34" s="35">
        <v>43</v>
      </c>
      <c r="I34" s="35">
        <v>2.280774888476816</v>
      </c>
      <c r="J34" s="35">
        <v>1.0218720696315648</v>
      </c>
      <c r="K34" s="51">
        <v>1.4025695073374422</v>
      </c>
      <c r="L34" s="35">
        <v>2.1359129926024476</v>
      </c>
      <c r="M34" s="35">
        <v>2.496573723060647</v>
      </c>
      <c r="O34" s="35">
        <v>43</v>
      </c>
      <c r="P34" s="35">
        <v>2.9539868040881454</v>
      </c>
      <c r="Q34" s="35">
        <v>1.1140409229708825</v>
      </c>
      <c r="R34" s="35">
        <v>1.5468337995207218</v>
      </c>
      <c r="S34" s="35">
        <v>2.428448918418543</v>
      </c>
      <c r="T34" s="35">
        <v>2.877271160766524</v>
      </c>
      <c r="V34" s="35">
        <v>43</v>
      </c>
      <c r="W34" s="35">
        <v>3.9138927620535284</v>
      </c>
      <c r="X34" s="35">
        <v>1.2142244592092715</v>
      </c>
      <c r="Y34" s="35">
        <v>1.7111347989516794</v>
      </c>
      <c r="Z34" s="35">
        <v>2.769072941629064</v>
      </c>
      <c r="AA34" s="35">
        <v>3.334108086013577</v>
      </c>
    </row>
    <row r="35" spans="1:27" ht="15">
      <c r="A35" s="35">
        <v>44</v>
      </c>
      <c r="B35" s="35">
        <v>1.9740175041198151</v>
      </c>
      <c r="C35" s="35">
        <v>0.9433962264150942</v>
      </c>
      <c r="D35" s="35">
        <v>1.2731674737017866</v>
      </c>
      <c r="E35" s="35">
        <v>1.8909667724160963</v>
      </c>
      <c r="F35" s="35">
        <v>2.1789948238437136</v>
      </c>
      <c r="H35" s="35">
        <v>44</v>
      </c>
      <c r="I35" s="35">
        <v>2.4881105582900833</v>
      </c>
      <c r="J35" s="35">
        <v>1.0227082985473368</v>
      </c>
      <c r="K35" s="35">
        <v>1.402571380864919</v>
      </c>
      <c r="L35" s="35">
        <v>2.1372516279846385</v>
      </c>
      <c r="M35" s="35">
        <v>2.496243112372684</v>
      </c>
      <c r="O35" s="35">
        <v>44</v>
      </c>
      <c r="P35" s="35">
        <v>3.2060107294048747</v>
      </c>
      <c r="Q35" s="35">
        <v>1.1145433294373017</v>
      </c>
      <c r="R35" s="35">
        <v>1.5444982467857742</v>
      </c>
      <c r="S35" s="35">
        <v>2.4294539989981634</v>
      </c>
      <c r="T35" s="35">
        <v>2.8761061946902653</v>
      </c>
      <c r="V35" s="35">
        <v>44</v>
      </c>
      <c r="W35" s="35">
        <v>4.221718850993705</v>
      </c>
      <c r="X35" s="35">
        <v>1.2147269994990817</v>
      </c>
      <c r="Y35" s="35">
        <v>1.7114710302220737</v>
      </c>
      <c r="Z35" s="35">
        <v>2.771748205042578</v>
      </c>
      <c r="AA35" s="35">
        <v>3.3352813491400903</v>
      </c>
    </row>
    <row r="36" spans="1:27" ht="15">
      <c r="A36" s="35">
        <v>45</v>
      </c>
      <c r="B36" s="35">
        <v>2.198729372264066</v>
      </c>
      <c r="C36" s="35">
        <v>0.9408526041144879</v>
      </c>
      <c r="D36" s="35">
        <v>1.2718933351918076</v>
      </c>
      <c r="E36" s="35">
        <v>1.890416806415221</v>
      </c>
      <c r="F36" s="51">
        <v>2.1778995465613145</v>
      </c>
      <c r="H36" s="35">
        <v>45</v>
      </c>
      <c r="I36" s="35">
        <v>2.759479145056244</v>
      </c>
      <c r="J36" s="35">
        <v>1.0236127868838178</v>
      </c>
      <c r="K36" s="35">
        <v>1.4025673079854868</v>
      </c>
      <c r="L36" s="35">
        <v>2.138697354723211</v>
      </c>
      <c r="M36" s="35">
        <v>2.4958728803592667</v>
      </c>
      <c r="O36" s="35">
        <v>45</v>
      </c>
      <c r="P36" s="35">
        <v>3.5363693101475744</v>
      </c>
      <c r="Q36" s="35">
        <v>1.115084567839393</v>
      </c>
      <c r="R36" s="35">
        <v>1.5463086780585331</v>
      </c>
      <c r="S36" s="35">
        <v>2.4261800948693044</v>
      </c>
      <c r="T36" s="35">
        <v>2.874827401460935</v>
      </c>
      <c r="V36" s="35">
        <v>45</v>
      </c>
      <c r="W36" s="35">
        <v>4.629223743499512</v>
      </c>
      <c r="X36" s="35">
        <v>1.2109121478880909</v>
      </c>
      <c r="Y36" s="35">
        <v>1.7118290435971932</v>
      </c>
      <c r="Z36" s="35">
        <v>2.770288223225992</v>
      </c>
      <c r="AA36" s="35">
        <v>3.336542105331934</v>
      </c>
    </row>
    <row r="37" spans="1:27" ht="15">
      <c r="A37" s="35">
        <v>46</v>
      </c>
      <c r="B37" s="35">
        <v>2.519191136367555</v>
      </c>
      <c r="C37" s="35">
        <v>0.942635828358311</v>
      </c>
      <c r="D37" s="35">
        <v>1.275062956233464</v>
      </c>
      <c r="E37" s="35">
        <v>1.8898254529888847</v>
      </c>
      <c r="F37" s="35">
        <v>2.176714618141414</v>
      </c>
      <c r="H37" s="35">
        <v>46</v>
      </c>
      <c r="I37" s="35">
        <v>3.147173941254568</v>
      </c>
      <c r="J37" s="35">
        <v>1.0246041612590335</v>
      </c>
      <c r="K37" s="35">
        <v>1.4025692518568105</v>
      </c>
      <c r="L37" s="51">
        <v>2.1357304516910527</v>
      </c>
      <c r="M37" s="51">
        <v>2.49548035719978</v>
      </c>
      <c r="O37" s="35">
        <v>46</v>
      </c>
      <c r="P37" s="35">
        <v>4.012011532377867</v>
      </c>
      <c r="Q37" s="35">
        <v>1.1111262904320187</v>
      </c>
      <c r="R37" s="35">
        <v>1.5482907325692064</v>
      </c>
      <c r="S37" s="35">
        <v>2.4271734131158444</v>
      </c>
      <c r="T37" s="35">
        <v>2.877999244069819</v>
      </c>
      <c r="V37" s="35">
        <v>46</v>
      </c>
      <c r="W37" s="35">
        <v>5.220787682825124</v>
      </c>
      <c r="X37" s="35">
        <v>1.2113098084217908</v>
      </c>
      <c r="Y37" s="35">
        <v>1.7122273983706517</v>
      </c>
      <c r="Z37" s="35">
        <v>2.768708133535522</v>
      </c>
      <c r="AA37" s="35">
        <v>3.3333788712960564</v>
      </c>
    </row>
    <row r="38" spans="1:27" ht="15">
      <c r="A38" s="35">
        <v>47</v>
      </c>
      <c r="B38" s="35">
        <v>2.781757526954812</v>
      </c>
      <c r="C38" s="35">
        <v>0.9445888891539249</v>
      </c>
      <c r="D38" s="35">
        <v>1.2737638050712017</v>
      </c>
      <c r="E38" s="35">
        <v>1.8891777783078498</v>
      </c>
      <c r="F38" s="35">
        <v>2.175416835627221</v>
      </c>
      <c r="H38" s="35">
        <v>47</v>
      </c>
      <c r="I38" s="51">
        <v>3.4605596029102923</v>
      </c>
      <c r="J38" s="51">
        <v>1.0256899553944134</v>
      </c>
      <c r="K38" s="35">
        <v>1.402571380864919</v>
      </c>
      <c r="L38" s="35">
        <v>2.1372516279846385</v>
      </c>
      <c r="M38" s="51">
        <v>2.495050449633853</v>
      </c>
      <c r="O38" s="35">
        <v>47</v>
      </c>
      <c r="P38" s="35">
        <v>4.389396617207918</v>
      </c>
      <c r="Q38" s="35">
        <v>1.1115616725902249</v>
      </c>
      <c r="R38" s="35">
        <v>1.5456909095246048</v>
      </c>
      <c r="S38" s="35">
        <v>2.4282613362593324</v>
      </c>
      <c r="T38" s="35">
        <v>2.8767025260596806</v>
      </c>
      <c r="V38" s="35">
        <v>47</v>
      </c>
      <c r="W38" s="35">
        <v>5.676648733235537</v>
      </c>
      <c r="X38" s="35">
        <v>1.2117453426520048</v>
      </c>
      <c r="Y38" s="35">
        <v>1.7126636929609043</v>
      </c>
      <c r="Z38" s="35">
        <v>2.7717482050425777</v>
      </c>
      <c r="AA38" s="35">
        <v>3.3346850177706746</v>
      </c>
    </row>
    <row r="39" spans="1:27" ht="15">
      <c r="A39" s="35">
        <v>48</v>
      </c>
      <c r="B39" s="35">
        <v>3.075571616097588</v>
      </c>
      <c r="C39" s="35">
        <v>0.9417233537373393</v>
      </c>
      <c r="D39" s="35">
        <v>1.2723283609004479</v>
      </c>
      <c r="E39" s="35">
        <v>1.8884558742498774</v>
      </c>
      <c r="F39" s="35">
        <v>2.178987547211397</v>
      </c>
      <c r="H39" s="35">
        <v>48</v>
      </c>
      <c r="I39" s="35">
        <v>3.809276626753779</v>
      </c>
      <c r="J39" s="51">
        <v>1.0218700221405173</v>
      </c>
      <c r="K39" s="35">
        <v>1.4025666970556117</v>
      </c>
      <c r="L39" s="35">
        <v>2.1389142130098078</v>
      </c>
      <c r="M39" s="35">
        <v>2.4945650540489095</v>
      </c>
      <c r="O39" s="35">
        <v>48</v>
      </c>
      <c r="P39" s="35">
        <v>4.8065164983803585</v>
      </c>
      <c r="Q39" s="35">
        <v>1.1120350240940924</v>
      </c>
      <c r="R39" s="35">
        <v>1.5478325335363716</v>
      </c>
      <c r="S39" s="35">
        <v>2.4294458859713273</v>
      </c>
      <c r="T39" s="35">
        <v>2.8752617289640043</v>
      </c>
      <c r="V39" s="35">
        <v>48</v>
      </c>
      <c r="W39" s="35">
        <v>6.179093899267793</v>
      </c>
      <c r="X39" s="35">
        <v>1.2122183595980645</v>
      </c>
      <c r="Y39" s="35">
        <v>1.713135037117926</v>
      </c>
      <c r="Z39" s="35">
        <v>2.7700692266848335</v>
      </c>
      <c r="AA39" s="35">
        <v>3.336105072282277</v>
      </c>
    </row>
    <row r="40" spans="1:27" ht="15">
      <c r="A40" s="35">
        <v>49</v>
      </c>
      <c r="B40" s="35">
        <v>3.4055708035087564</v>
      </c>
      <c r="C40" s="35">
        <v>0.9438339695864003</v>
      </c>
      <c r="D40" s="35">
        <v>1.2707485288844833</v>
      </c>
      <c r="E40" s="35">
        <v>1.8876679391728006</v>
      </c>
      <c r="F40" s="35">
        <v>2.1776727901630357</v>
      </c>
      <c r="H40" s="35">
        <v>49</v>
      </c>
      <c r="I40" s="35">
        <v>4.198908031725083</v>
      </c>
      <c r="J40" s="35">
        <v>1.022926201674646</v>
      </c>
      <c r="K40" s="35">
        <v>1.4025689156982264</v>
      </c>
      <c r="L40" s="51">
        <v>2.1354902663826376</v>
      </c>
      <c r="M40" s="35">
        <v>2.494041718516019</v>
      </c>
      <c r="O40" s="35">
        <v>49</v>
      </c>
      <c r="P40" s="35">
        <v>5.2717521509421275</v>
      </c>
      <c r="Q40" s="35">
        <v>1.1125640647079915</v>
      </c>
      <c r="R40" s="35">
        <v>1.5449349334570688</v>
      </c>
      <c r="S40" s="35">
        <v>2.4254951173728725</v>
      </c>
      <c r="T40" s="35">
        <v>2.878957248012149</v>
      </c>
      <c r="V40" s="35">
        <v>49</v>
      </c>
      <c r="W40" s="35">
        <v>6.737587162017325</v>
      </c>
      <c r="X40" s="35">
        <v>1.2127475586864362</v>
      </c>
      <c r="Y40" s="35">
        <v>1.7083922131061102</v>
      </c>
      <c r="Z40" s="35">
        <v>2.7682281230886048</v>
      </c>
      <c r="AA40" s="35">
        <v>3.3376921941239743</v>
      </c>
    </row>
    <row r="41" spans="1:27" ht="15">
      <c r="A41" s="35">
        <v>50</v>
      </c>
      <c r="B41" s="35">
        <v>3.8143808480148365</v>
      </c>
      <c r="C41" s="35">
        <v>0.9406133466911559</v>
      </c>
      <c r="D41" s="35">
        <v>1.2745589135637558</v>
      </c>
      <c r="E41" s="35">
        <v>1.8867924528301887</v>
      </c>
      <c r="F41" s="35">
        <v>2.176211944119775</v>
      </c>
      <c r="H41" s="35">
        <v>50</v>
      </c>
      <c r="I41" s="35">
        <v>4.682848485117371</v>
      </c>
      <c r="J41" s="51">
        <v>1.024099738409306</v>
      </c>
      <c r="K41" s="35">
        <v>1.402571380864919</v>
      </c>
      <c r="L41" s="35">
        <v>2.1372516279846385</v>
      </c>
      <c r="M41" s="51">
        <v>2.4934602326487454</v>
      </c>
      <c r="O41" s="35">
        <v>50</v>
      </c>
      <c r="P41" s="35">
        <v>5.847460259009659</v>
      </c>
      <c r="Q41" s="35">
        <v>1.1131518895753325</v>
      </c>
      <c r="R41" s="35">
        <v>1.5472811265097122</v>
      </c>
      <c r="S41" s="35">
        <v>2.426671119274225</v>
      </c>
      <c r="T41" s="35">
        <v>2.8774976345522347</v>
      </c>
      <c r="V41" s="35">
        <v>50</v>
      </c>
      <c r="W41" s="35">
        <v>7.429113963362424</v>
      </c>
      <c r="X41" s="35">
        <v>1.2133355596371125</v>
      </c>
      <c r="Y41" s="35">
        <v>1.7086881504981353</v>
      </c>
      <c r="Z41" s="35">
        <v>2.771748205042578</v>
      </c>
      <c r="AA41" s="51">
        <v>3.3338899092781213</v>
      </c>
    </row>
    <row r="42" spans="1:27" ht="15">
      <c r="A42" s="35">
        <v>51</v>
      </c>
      <c r="B42" s="35">
        <v>4.221961244862009</v>
      </c>
      <c r="C42" s="35">
        <v>0.9429069822262034</v>
      </c>
      <c r="D42" s="35">
        <v>1.2729244260053745</v>
      </c>
      <c r="E42" s="35">
        <v>1.8917071330913204</v>
      </c>
      <c r="F42" s="35">
        <v>2.1745792277591818</v>
      </c>
      <c r="H42" s="35">
        <v>51</v>
      </c>
      <c r="I42" s="35">
        <v>5.16030534351145</v>
      </c>
      <c r="J42" s="35">
        <v>1.0254113431709961</v>
      </c>
      <c r="K42" s="35">
        <v>1.4025741360614774</v>
      </c>
      <c r="L42" s="51">
        <v>2.1392202159256986</v>
      </c>
      <c r="M42" s="51">
        <v>2.4928103342605255</v>
      </c>
      <c r="O42" s="35">
        <v>51</v>
      </c>
      <c r="P42" s="35">
        <v>6.411039342337053</v>
      </c>
      <c r="Q42" s="35">
        <v>1.1138088727547026</v>
      </c>
      <c r="R42" s="35">
        <v>1.544010183395408</v>
      </c>
      <c r="S42" s="35">
        <v>2.4279854792324738</v>
      </c>
      <c r="T42" s="35">
        <v>2.8758662957899204</v>
      </c>
      <c r="V42" s="35">
        <v>51</v>
      </c>
      <c r="W42" s="35">
        <v>8.09747504403993</v>
      </c>
      <c r="X42" s="35">
        <v>1.2139927396162369</v>
      </c>
      <c r="Y42" s="35">
        <v>1.7090189052849936</v>
      </c>
      <c r="Z42" s="35">
        <v>2.769789260289472</v>
      </c>
      <c r="AA42" s="35">
        <v>3.3355334496251943</v>
      </c>
    </row>
    <row r="43" spans="1:27" ht="15">
      <c r="A43" s="35">
        <v>52</v>
      </c>
      <c r="B43" s="35">
        <v>4.660524174831423</v>
      </c>
      <c r="C43" s="35">
        <v>0.9454814128372583</v>
      </c>
      <c r="D43" s="35">
        <v>1.2710776609666452</v>
      </c>
      <c r="E43" s="35">
        <v>1.8909628256745166</v>
      </c>
      <c r="F43" s="51">
        <v>2.1789902759428204</v>
      </c>
      <c r="H43" s="35">
        <v>52</v>
      </c>
      <c r="I43" s="51">
        <v>5.671240260939442</v>
      </c>
      <c r="J43" s="35">
        <v>1.0206190085594244</v>
      </c>
      <c r="K43" s="35">
        <v>1.4025684534804361</v>
      </c>
      <c r="L43" s="51">
        <v>2.135160011771557</v>
      </c>
      <c r="M43" s="35">
        <v>2.498325057762027</v>
      </c>
      <c r="O43" s="35">
        <v>52</v>
      </c>
      <c r="P43" s="35">
        <v>7.010127125623275</v>
      </c>
      <c r="Q43" s="35">
        <v>1.1145410032121323</v>
      </c>
      <c r="R43" s="35">
        <v>1.5465821786145881</v>
      </c>
      <c r="S43" s="35">
        <v>2.429448928350041</v>
      </c>
      <c r="T43" s="35">
        <v>2.8740130363728578</v>
      </c>
      <c r="V43" s="35">
        <v>52</v>
      </c>
      <c r="W43" s="35">
        <v>8.80196453259996</v>
      </c>
      <c r="X43" s="35">
        <v>1.2147244641750206</v>
      </c>
      <c r="Y43" s="35">
        <v>1.7093803026792815</v>
      </c>
      <c r="Z43" s="35">
        <v>2.767568109099789</v>
      </c>
      <c r="AA43" s="35">
        <v>3.337361543326216</v>
      </c>
    </row>
    <row r="44" spans="1:27" ht="15">
      <c r="A44" s="35">
        <v>53</v>
      </c>
      <c r="B44" s="35">
        <v>5.099005354554566</v>
      </c>
      <c r="C44" s="35">
        <v>0.9417264985807313</v>
      </c>
      <c r="D44" s="35">
        <v>1.275672065453331</v>
      </c>
      <c r="E44" s="35">
        <v>1.8901319084989148</v>
      </c>
      <c r="F44" s="35">
        <v>2.17732509600935</v>
      </c>
      <c r="H44" s="35">
        <v>53</v>
      </c>
      <c r="I44" s="35">
        <v>6.177103589268531</v>
      </c>
      <c r="J44" s="35">
        <v>1.0218734346301555</v>
      </c>
      <c r="K44" s="35">
        <v>1.402571380864919</v>
      </c>
      <c r="L44" s="35">
        <v>2.1372516279846385</v>
      </c>
      <c r="M44" s="35">
        <v>2.4979128402070465</v>
      </c>
      <c r="O44" s="35">
        <v>53</v>
      </c>
      <c r="P44" s="35">
        <v>7.595934105571106</v>
      </c>
      <c r="Q44" s="35">
        <v>1.1153781933544833</v>
      </c>
      <c r="R44" s="35">
        <v>1.5495074302888627</v>
      </c>
      <c r="S44" s="35">
        <v>2.4244448154950744</v>
      </c>
      <c r="T44" s="35">
        <v>2.87861078644181</v>
      </c>
      <c r="V44" s="35">
        <v>53</v>
      </c>
      <c r="W44" s="35">
        <v>9.483271509058023</v>
      </c>
      <c r="X44" s="35">
        <v>1.2155618634162633</v>
      </c>
      <c r="Y44" s="35">
        <v>1.7098013023877108</v>
      </c>
      <c r="Z44" s="35">
        <v>2.7717482050425786</v>
      </c>
      <c r="AA44" s="35">
        <v>3.332776757388546</v>
      </c>
    </row>
    <row r="45" spans="1:27" ht="15">
      <c r="A45" s="35">
        <v>54</v>
      </c>
      <c r="B45" s="35">
        <v>5.685683116216389</v>
      </c>
      <c r="C45" s="35">
        <v>0.9445911423112429</v>
      </c>
      <c r="D45" s="35">
        <v>1.2737668434197063</v>
      </c>
      <c r="E45" s="35">
        <v>1.8891822846224857</v>
      </c>
      <c r="F45" s="35">
        <v>2.1754220247168012</v>
      </c>
      <c r="H45" s="35">
        <v>54</v>
      </c>
      <c r="I45" s="35">
        <v>6.85790070375837</v>
      </c>
      <c r="J45" s="35">
        <v>1.0233070708371796</v>
      </c>
      <c r="K45" s="35">
        <v>1.4025747264621482</v>
      </c>
      <c r="L45" s="35">
        <v>2.139642057205012</v>
      </c>
      <c r="M45" s="35">
        <v>2.497441732322907</v>
      </c>
      <c r="O45" s="35">
        <v>54</v>
      </c>
      <c r="P45" s="35">
        <v>8.390910322502442</v>
      </c>
      <c r="Q45" s="35">
        <v>1.1163349863678322</v>
      </c>
      <c r="R45" s="35">
        <v>1.5456945965093063</v>
      </c>
      <c r="S45" s="35">
        <v>2.4258817972993283</v>
      </c>
      <c r="T45" s="35">
        <v>2.8767093879478756</v>
      </c>
      <c r="V45" s="35">
        <v>54</v>
      </c>
      <c r="W45" s="35">
        <v>10.414483019244619</v>
      </c>
      <c r="X45" s="35">
        <v>1.209362901898485</v>
      </c>
      <c r="Y45" s="35">
        <v>1.710282447063538</v>
      </c>
      <c r="Z45" s="35">
        <v>2.7693694854125073</v>
      </c>
      <c r="AA45" s="35">
        <v>3.3346929720987815</v>
      </c>
    </row>
    <row r="46" spans="1:27" ht="15">
      <c r="A46" s="35">
        <v>55</v>
      </c>
      <c r="B46" s="35">
        <v>6.178328395892171</v>
      </c>
      <c r="C46" s="35">
        <v>0.940182796196113</v>
      </c>
      <c r="D46" s="35">
        <v>1.2715586997734314</v>
      </c>
      <c r="E46" s="35">
        <v>1.8880720087544893</v>
      </c>
      <c r="F46" s="35">
        <v>2.1809158305204916</v>
      </c>
      <c r="H46" s="35">
        <v>55</v>
      </c>
      <c r="I46" s="35">
        <v>7.419215630264748</v>
      </c>
      <c r="J46" s="35">
        <v>1.0249533761810086</v>
      </c>
      <c r="K46" s="35">
        <v>1.4025677779319063</v>
      </c>
      <c r="L46" s="35">
        <v>2.134677332346912</v>
      </c>
      <c r="M46" s="35">
        <v>2.4968789013732837</v>
      </c>
      <c r="O46" s="35">
        <v>55</v>
      </c>
      <c r="P46" s="35">
        <v>9.031754734338023</v>
      </c>
      <c r="Q46" s="35">
        <v>1.1097239561659038</v>
      </c>
      <c r="R46" s="35">
        <v>1.5489896888149073</v>
      </c>
      <c r="S46" s="35">
        <v>2.4275211541129145</v>
      </c>
      <c r="T46" s="35">
        <v>2.874493303124181</v>
      </c>
      <c r="V46" s="35">
        <v>55</v>
      </c>
      <c r="W46" s="35">
        <v>11.146484587965542</v>
      </c>
      <c r="X46" s="35">
        <v>1.2099073688753257</v>
      </c>
      <c r="Y46" s="35">
        <v>1.7108244324224353</v>
      </c>
      <c r="Z46" s="35">
        <v>2.7666034740524963</v>
      </c>
      <c r="AA46" s="35">
        <v>3.3368782848599747</v>
      </c>
    </row>
    <row r="47" spans="1:27" ht="15">
      <c r="A47" s="35">
        <v>56</v>
      </c>
      <c r="B47" s="35">
        <v>6.856232083705593</v>
      </c>
      <c r="C47" s="35">
        <v>0.9433962264150942</v>
      </c>
      <c r="D47" s="35">
        <v>1.268993154115879</v>
      </c>
      <c r="E47" s="35">
        <v>1.8867924528301885</v>
      </c>
      <c r="F47" s="35">
        <v>2.1789948238437136</v>
      </c>
      <c r="H47" s="35">
        <v>56</v>
      </c>
      <c r="I47" s="35">
        <v>8.197198611118043</v>
      </c>
      <c r="J47" s="35">
        <v>1.0268826181332442</v>
      </c>
      <c r="K47" s="35">
        <v>1.402571380864919</v>
      </c>
      <c r="L47" s="35">
        <v>2.1372516279846385</v>
      </c>
      <c r="M47" s="35">
        <v>2.496243112372684</v>
      </c>
      <c r="O47" s="35">
        <v>56</v>
      </c>
      <c r="P47" s="35">
        <v>9.927478001327657</v>
      </c>
      <c r="Q47" s="35">
        <v>1.1103690098513943</v>
      </c>
      <c r="R47" s="35">
        <v>1.5444982467857742</v>
      </c>
      <c r="S47" s="35">
        <v>2.4294539989981634</v>
      </c>
      <c r="T47" s="35">
        <v>2.880280514276173</v>
      </c>
      <c r="V47" s="35">
        <v>56</v>
      </c>
      <c r="W47" s="35">
        <v>12.181832399148835</v>
      </c>
      <c r="X47" s="35">
        <v>1.210552679913174</v>
      </c>
      <c r="Y47" s="35">
        <v>1.7114710302220737</v>
      </c>
      <c r="Z47" s="35">
        <v>2.771748205042578</v>
      </c>
      <c r="AA47" s="35">
        <v>3.331107029554183</v>
      </c>
    </row>
    <row r="48" spans="1:27" ht="15">
      <c r="A48" s="35">
        <v>57</v>
      </c>
      <c r="B48" s="35">
        <v>7.519465669637185</v>
      </c>
      <c r="C48" s="35">
        <v>0.9380863039399625</v>
      </c>
      <c r="D48" s="35">
        <v>1.275068762636842</v>
      </c>
      <c r="E48" s="51">
        <v>1.8852802418987593</v>
      </c>
      <c r="F48" s="35">
        <v>2.1767245305014664</v>
      </c>
      <c r="H48" s="35">
        <v>57</v>
      </c>
      <c r="I48" s="35">
        <v>8.949670580975372</v>
      </c>
      <c r="J48" s="35">
        <v>1.0200550101094739</v>
      </c>
      <c r="K48" s="35">
        <v>1.4025756389005264</v>
      </c>
      <c r="L48" s="35">
        <v>2.140293994426128</v>
      </c>
      <c r="M48" s="35">
        <v>2.495491721160677</v>
      </c>
      <c r="O48" s="35">
        <v>57</v>
      </c>
      <c r="P48" s="35">
        <v>10.786431203150808</v>
      </c>
      <c r="Q48" s="35">
        <v>1.1111313502978197</v>
      </c>
      <c r="R48" s="35">
        <v>1.5482977832018798</v>
      </c>
      <c r="S48" s="35">
        <v>2.4317382830288348</v>
      </c>
      <c r="T48" s="35">
        <v>2.8780123499517294</v>
      </c>
      <c r="V48" s="35">
        <v>57</v>
      </c>
      <c r="W48" s="35">
        <v>13.160426157504041</v>
      </c>
      <c r="X48" s="35">
        <v>1.2113153245050001</v>
      </c>
      <c r="Y48" s="35">
        <v>1.7122351955409023</v>
      </c>
      <c r="Z48" s="35">
        <v>2.7687207417257143</v>
      </c>
      <c r="AA48" s="35">
        <v>3.333394050893459</v>
      </c>
    </row>
    <row r="49" spans="1:27" ht="15">
      <c r="A49" s="35">
        <v>58</v>
      </c>
      <c r="B49" s="35">
        <v>8.093722673204468</v>
      </c>
      <c r="C49" s="35">
        <v>0.9417233537373393</v>
      </c>
      <c r="D49" s="35">
        <v>1.2723283609004479</v>
      </c>
      <c r="E49" s="35">
        <v>1.893465041025076</v>
      </c>
      <c r="F49" s="35">
        <v>2.173978380436198</v>
      </c>
      <c r="H49" s="35">
        <v>58</v>
      </c>
      <c r="I49" s="35">
        <v>9.59307781074185</v>
      </c>
      <c r="J49" s="51">
        <v>1.0218700221405173</v>
      </c>
      <c r="K49" s="35">
        <v>1.4025666970556117</v>
      </c>
      <c r="L49" s="35">
        <v>2.1339050462346094</v>
      </c>
      <c r="M49" s="35">
        <v>2.4945650540489095</v>
      </c>
      <c r="O49" s="35">
        <v>58</v>
      </c>
      <c r="P49" s="35">
        <v>11.501710981828056</v>
      </c>
      <c r="Q49" s="35">
        <v>1.1120350240940924</v>
      </c>
      <c r="R49" s="35">
        <v>1.542823366761173</v>
      </c>
      <c r="S49" s="35">
        <v>2.424436719196129</v>
      </c>
      <c r="T49" s="35">
        <v>2.8752617289640043</v>
      </c>
      <c r="V49" s="35">
        <v>58</v>
      </c>
      <c r="W49" s="35">
        <v>13.955382704908544</v>
      </c>
      <c r="X49" s="35">
        <v>1.2122183595980645</v>
      </c>
      <c r="Y49" s="35">
        <v>1.713135037117926</v>
      </c>
      <c r="Z49" s="35">
        <v>2.7750783934600323</v>
      </c>
      <c r="AA49" s="35">
        <v>3.336105072282277</v>
      </c>
    </row>
    <row r="50" spans="1:27" ht="15">
      <c r="A50" s="35">
        <v>59</v>
      </c>
      <c r="B50" s="35">
        <v>8.948655039774266</v>
      </c>
      <c r="C50" s="35">
        <v>0.9461791061390326</v>
      </c>
      <c r="D50" s="35">
        <v>1.268993154115879</v>
      </c>
      <c r="E50" s="35">
        <v>1.892358212278065</v>
      </c>
      <c r="F50" s="35">
        <v>2.181777703567652</v>
      </c>
      <c r="H50" s="35">
        <v>59</v>
      </c>
      <c r="I50" s="35">
        <v>10.559146749956744</v>
      </c>
      <c r="J50" s="51">
        <v>1.024099738409306</v>
      </c>
      <c r="K50" s="35">
        <v>1.402571380864919</v>
      </c>
      <c r="L50" s="35">
        <v>2.1372516279846385</v>
      </c>
      <c r="M50" s="51">
        <v>2.4934602326487454</v>
      </c>
      <c r="O50" s="35">
        <v>59</v>
      </c>
      <c r="P50" s="35">
        <v>12.597771931303434</v>
      </c>
      <c r="Q50" s="35">
        <v>1.1131518895753325</v>
      </c>
      <c r="R50" s="35">
        <v>1.5472811265097122</v>
      </c>
      <c r="S50" s="35">
        <v>2.426671119274225</v>
      </c>
      <c r="T50" s="35">
        <v>2.8719318751043583</v>
      </c>
      <c r="V50" s="35">
        <v>59</v>
      </c>
      <c r="W50" s="35">
        <v>15.197629072259172</v>
      </c>
      <c r="X50" s="35">
        <v>1.2133355596371125</v>
      </c>
      <c r="Y50" s="35">
        <v>1.7142539099460121</v>
      </c>
      <c r="Z50" s="35">
        <v>2.771748205042578</v>
      </c>
      <c r="AA50" s="35">
        <v>3.3394556687259978</v>
      </c>
    </row>
    <row r="51" spans="1:27" ht="15">
      <c r="A51" s="35">
        <v>60</v>
      </c>
      <c r="B51" s="35">
        <v>9.685405259716601</v>
      </c>
      <c r="C51" s="35">
        <v>0.939225827457954</v>
      </c>
      <c r="D51" s="35">
        <v>1.2773471253428177</v>
      </c>
      <c r="E51" s="35">
        <v>1.8909746659486808</v>
      </c>
      <c r="F51" s="35">
        <v>2.179003919702453</v>
      </c>
      <c r="H51" s="35">
        <v>60</v>
      </c>
      <c r="I51" s="35">
        <v>11.377418855719656</v>
      </c>
      <c r="J51" s="35">
        <v>1.026886904687363</v>
      </c>
      <c r="K51" s="35">
        <v>1.4025772356705448</v>
      </c>
      <c r="L51" s="35">
        <v>2.141434886604135</v>
      </c>
      <c r="M51" s="35">
        <v>2.4920791955217716</v>
      </c>
      <c r="O51" s="35">
        <v>60</v>
      </c>
      <c r="P51" s="35">
        <v>13.506161624732346</v>
      </c>
      <c r="Q51" s="35">
        <v>1.114547981916772</v>
      </c>
      <c r="R51" s="35">
        <v>1.5403303570310447</v>
      </c>
      <c r="S51" s="35">
        <v>2.429464140357908</v>
      </c>
      <c r="T51" s="35">
        <v>2.8802925375377253</v>
      </c>
      <c r="V51" s="35">
        <v>60</v>
      </c>
      <c r="W51" s="58">
        <v>16.20390011629474</v>
      </c>
      <c r="X51" s="35">
        <v>1.214732070178954</v>
      </c>
      <c r="Y51" s="35">
        <v>1.7156525114898629</v>
      </c>
      <c r="Z51" s="35">
        <v>2.767585438242771</v>
      </c>
      <c r="AA51" s="35">
        <v>3.3311209347175437</v>
      </c>
    </row>
    <row r="52" spans="1:27" ht="15">
      <c r="A52" s="35">
        <v>61</v>
      </c>
      <c r="B52" s="35">
        <v>10.535682708817003</v>
      </c>
      <c r="C52" s="35">
        <v>0.9445843828715365</v>
      </c>
      <c r="D52" s="35">
        <v>1.2737577284176782</v>
      </c>
      <c r="E52" s="35">
        <v>1.889168765743073</v>
      </c>
      <c r="F52" s="35">
        <v>2.1754064575223264</v>
      </c>
      <c r="H52" s="35">
        <v>61</v>
      </c>
      <c r="I52" s="35">
        <v>12.323953704601589</v>
      </c>
      <c r="J52" s="35">
        <v>1.0304556904053126</v>
      </c>
      <c r="K52" s="35">
        <v>1.402564689718342</v>
      </c>
      <c r="L52" s="35">
        <v>2.1324708037554387</v>
      </c>
      <c r="M52" s="35">
        <v>2.490267918479505</v>
      </c>
      <c r="O52" s="35">
        <v>61</v>
      </c>
      <c r="P52" s="35">
        <v>14.557153369193825</v>
      </c>
      <c r="Q52" s="35">
        <v>1.1163269979390886</v>
      </c>
      <c r="R52" s="35">
        <v>1.545683535607969</v>
      </c>
      <c r="S52" s="51">
        <v>2.4330203801236543</v>
      </c>
      <c r="T52" s="35">
        <v>2.8766888023814974</v>
      </c>
      <c r="V52" s="35">
        <v>61</v>
      </c>
      <c r="W52" s="35">
        <v>17.369330724606264</v>
      </c>
      <c r="X52" s="35">
        <v>1.2165101900618271</v>
      </c>
      <c r="Y52" s="35">
        <v>1.7174261506755208</v>
      </c>
      <c r="Z52" s="35">
        <v>2.776505610258759</v>
      </c>
      <c r="AA52" s="35">
        <v>3.334669109228303</v>
      </c>
    </row>
    <row r="53" spans="1:27" ht="15">
      <c r="A53" s="35">
        <v>62</v>
      </c>
      <c r="B53" s="35">
        <v>11.523014417909753</v>
      </c>
      <c r="C53" s="35">
        <v>0.9350475872432794</v>
      </c>
      <c r="D53" s="35">
        <v>1.268993154115879</v>
      </c>
      <c r="E53" s="35">
        <v>1.8867924528301885</v>
      </c>
      <c r="F53" s="35">
        <v>2.1706461846718983</v>
      </c>
      <c r="H53" s="35">
        <v>62</v>
      </c>
      <c r="I53" s="35">
        <v>13.416342516030067</v>
      </c>
      <c r="J53" s="35">
        <v>1.0185339789614294</v>
      </c>
      <c r="K53" s="35">
        <v>1.402571380864919</v>
      </c>
      <c r="L53" s="35">
        <v>2.1372516279846385</v>
      </c>
      <c r="M53" s="35">
        <v>2.487894473200868</v>
      </c>
      <c r="O53" s="35">
        <v>62</v>
      </c>
      <c r="P53" s="35">
        <v>15.772188374499633</v>
      </c>
      <c r="Q53" s="35">
        <v>1.1187176490232094</v>
      </c>
      <c r="R53" s="35">
        <v>1.552846885957589</v>
      </c>
      <c r="S53" s="35">
        <v>2.421105359826348</v>
      </c>
      <c r="T53" s="35">
        <v>2.8719318751043583</v>
      </c>
      <c r="V53" s="35">
        <v>62</v>
      </c>
      <c r="W53" s="35">
        <v>18.713668231684796</v>
      </c>
      <c r="X53" s="35">
        <v>1.218901319084989</v>
      </c>
      <c r="Y53" s="35">
        <v>1.7031223910502589</v>
      </c>
      <c r="Z53" s="35">
        <v>2.771748205042578</v>
      </c>
      <c r="AA53" s="35">
        <v>3.3394556687259978</v>
      </c>
    </row>
    <row r="54" spans="1:27" ht="15">
      <c r="A54" s="35">
        <v>63</v>
      </c>
      <c r="B54" s="35">
        <v>12.49396065340739</v>
      </c>
      <c r="C54" s="35">
        <v>0.9417327883305282</v>
      </c>
      <c r="D54" s="51">
        <v>1.282359541556464</v>
      </c>
      <c r="E54" s="35">
        <v>1.8834655766610564</v>
      </c>
      <c r="F54" s="35">
        <v>2.1840185942133528</v>
      </c>
      <c r="H54" s="35">
        <v>63</v>
      </c>
      <c r="I54" s="35">
        <v>14.486445909415792</v>
      </c>
      <c r="J54" s="51">
        <v>1.0218802596778072</v>
      </c>
      <c r="K54" s="35">
        <v>1.4025807485773825</v>
      </c>
      <c r="L54" s="35">
        <v>2.1439448585397134</v>
      </c>
      <c r="M54" s="35">
        <v>2.5046084796024686</v>
      </c>
      <c r="O54" s="35">
        <v>63</v>
      </c>
      <c r="P54" s="35">
        <v>16.94211411070871</v>
      </c>
      <c r="Q54" s="35">
        <v>1.122064598861906</v>
      </c>
      <c r="R54" s="35">
        <v>1.542838823435121</v>
      </c>
      <c r="S54" s="35">
        <v>2.42446100825519</v>
      </c>
      <c r="T54" s="35">
        <v>2.8853089685020437</v>
      </c>
      <c r="V54" s="35">
        <v>63</v>
      </c>
      <c r="W54" s="35">
        <v>19.996725775731612</v>
      </c>
      <c r="X54" s="35">
        <v>1.2222489380460047</v>
      </c>
      <c r="Y54" s="35">
        <v>1.7031337661296786</v>
      </c>
      <c r="Z54" s="35">
        <v>2.765087761481125</v>
      </c>
      <c r="AA54" s="35">
        <v>3.326120060912078</v>
      </c>
    </row>
    <row r="55" spans="1:27" ht="15">
      <c r="A55" s="35">
        <v>64</v>
      </c>
      <c r="B55" s="35">
        <v>13.605985435705978</v>
      </c>
      <c r="C55" s="35">
        <v>0.9517369198787788</v>
      </c>
      <c r="D55" s="35">
        <v>1.2773311293109928</v>
      </c>
      <c r="E55" s="35">
        <v>1.878428131339695</v>
      </c>
      <c r="F55" s="35">
        <v>2.1789766323540465</v>
      </c>
      <c r="H55" s="35">
        <v>64</v>
      </c>
      <c r="I55" s="35">
        <v>15.707276656700921</v>
      </c>
      <c r="J55" s="35">
        <v>1.0268740451323666</v>
      </c>
      <c r="K55" s="51">
        <v>1.402559671400306</v>
      </c>
      <c r="L55" s="35">
        <v>2.1288852155183213</v>
      </c>
      <c r="M55" s="35">
        <v>2.50457084178626</v>
      </c>
      <c r="O55" s="35">
        <v>64</v>
      </c>
      <c r="P55" s="35">
        <v>18.282730979820617</v>
      </c>
      <c r="Q55" s="35">
        <v>1.1020111703859545</v>
      </c>
      <c r="R55" s="35">
        <v>1.5528339219074812</v>
      </c>
      <c r="S55" s="35">
        <v>2.4294337165326723</v>
      </c>
      <c r="T55" s="35">
        <v>2.880256468054199</v>
      </c>
      <c r="V55" s="35">
        <v>64</v>
      </c>
      <c r="W55" s="35">
        <v>21.46211935933078</v>
      </c>
      <c r="X55" s="35">
        <v>1.2021940040574048</v>
      </c>
      <c r="Y55" s="35">
        <v>1.703108172414657</v>
      </c>
      <c r="Z55" s="35">
        <v>2.780073634382749</v>
      </c>
      <c r="AA55" s="35">
        <v>3.331079219575726</v>
      </c>
    </row>
    <row r="56" spans="1:27" ht="15">
      <c r="A56" s="35">
        <v>65</v>
      </c>
      <c r="B56" s="35">
        <v>14.833793631251453</v>
      </c>
      <c r="C56" s="35">
        <v>0.9350475872432794</v>
      </c>
      <c r="D56" s="35">
        <v>1.268993154115879</v>
      </c>
      <c r="E56" s="51">
        <v>1.9034897311738186</v>
      </c>
      <c r="F56" s="35">
        <v>2.1706461846718983</v>
      </c>
      <c r="H56" s="35">
        <v>65</v>
      </c>
      <c r="I56" s="35">
        <v>17.04322363823911</v>
      </c>
      <c r="J56" s="35">
        <v>1.0352312573050593</v>
      </c>
      <c r="K56" s="35">
        <v>1.402571380864919</v>
      </c>
      <c r="L56" s="35">
        <v>2.1372516279846385</v>
      </c>
      <c r="M56" s="35">
        <v>2.5045917515444986</v>
      </c>
      <c r="O56" s="35">
        <v>65</v>
      </c>
      <c r="P56" s="35">
        <v>19.74511696003727</v>
      </c>
      <c r="Q56" s="35">
        <v>1.1020203706795793</v>
      </c>
      <c r="R56" s="35">
        <v>1.5361496076139591</v>
      </c>
      <c r="S56" s="35">
        <v>2.437802638169978</v>
      </c>
      <c r="T56" s="35">
        <v>2.8719318751043583</v>
      </c>
      <c r="V56" s="35">
        <v>65</v>
      </c>
      <c r="W56" s="35">
        <v>23.052607060859145</v>
      </c>
      <c r="X56" s="35">
        <v>1.2022040407413592</v>
      </c>
      <c r="Y56" s="35">
        <v>1.7031223910502589</v>
      </c>
      <c r="Z56" s="35">
        <v>2.771748205042578</v>
      </c>
      <c r="AA56" s="35">
        <v>3.3394556687259978</v>
      </c>
    </row>
    <row r="57" spans="1:27" ht="15">
      <c r="A57" s="35">
        <v>66</v>
      </c>
      <c r="B57" s="35">
        <v>15.961907043603258</v>
      </c>
      <c r="C57" s="35">
        <v>0.9517607574011923</v>
      </c>
      <c r="D57" s="35">
        <v>1.2523167860542004</v>
      </c>
      <c r="E57" s="35">
        <v>1.9035215148023845</v>
      </c>
      <c r="F57" s="35">
        <v>2.1539848720132246</v>
      </c>
      <c r="H57" s="35">
        <v>66</v>
      </c>
      <c r="I57" s="35">
        <v>18.26784858648778</v>
      </c>
      <c r="J57" s="35">
        <v>1.0018534288433605</v>
      </c>
      <c r="K57" s="35">
        <v>1.4025948003807045</v>
      </c>
      <c r="L57" s="35">
        <v>2.1539848720132246</v>
      </c>
      <c r="M57" s="35">
        <v>2.5046335721084008</v>
      </c>
      <c r="O57" s="35">
        <v>66</v>
      </c>
      <c r="P57" s="35">
        <v>21.05294681360805</v>
      </c>
      <c r="Q57" s="35">
        <v>1.1020387717276963</v>
      </c>
      <c r="R57" s="35">
        <v>1.5528728147072084</v>
      </c>
      <c r="S57" s="35">
        <v>2.4044482292240645</v>
      </c>
      <c r="T57" s="35">
        <v>2.8552822722035764</v>
      </c>
      <c r="V57" s="35">
        <v>66</v>
      </c>
      <c r="W57" s="35">
        <v>24.446973326944576</v>
      </c>
      <c r="X57" s="35">
        <v>1.2022241146120323</v>
      </c>
      <c r="Y57" s="35">
        <v>1.7031508290337125</v>
      </c>
      <c r="Z57" s="35">
        <v>2.7550969293192407</v>
      </c>
      <c r="AA57" s="35">
        <v>3.356208986625257</v>
      </c>
    </row>
    <row r="58" spans="1:27" ht="15.75" thickBot="1">
      <c r="A58" s="35">
        <v>67</v>
      </c>
      <c r="B58" s="35">
        <v>17.389394665388917</v>
      </c>
      <c r="C58" s="35">
        <v>0.9016229212582649</v>
      </c>
      <c r="D58" s="35">
        <v>1.3023442195952717</v>
      </c>
      <c r="E58" s="35">
        <v>1.9034261671007815</v>
      </c>
      <c r="F58" s="35">
        <v>2.2039671408535364</v>
      </c>
      <c r="H58" s="35">
        <v>67</v>
      </c>
      <c r="I58" s="35">
        <v>19.805142948410797</v>
      </c>
      <c r="J58" s="35">
        <v>1.0018032458425166</v>
      </c>
      <c r="K58" s="35">
        <v>1.4025245441795233</v>
      </c>
      <c r="L58" s="35">
        <v>2.1037868162692845</v>
      </c>
      <c r="M58" s="35">
        <v>2.5045081146062915</v>
      </c>
      <c r="O58" s="35">
        <v>67</v>
      </c>
      <c r="P58" s="35">
        <v>22.72001277751158</v>
      </c>
      <c r="Q58" s="35">
        <v>1.1019835704267682</v>
      </c>
      <c r="R58" s="35">
        <v>1.5027048687637747</v>
      </c>
      <c r="S58" s="35">
        <v>2.40432779002204</v>
      </c>
      <c r="T58" s="35">
        <v>2.905229412943298</v>
      </c>
      <c r="V58" s="35">
        <v>67</v>
      </c>
      <c r="W58" s="35">
        <v>26.2537933237502</v>
      </c>
      <c r="X58" s="35">
        <v>1.20216389501102</v>
      </c>
      <c r="Y58" s="35">
        <v>1.7030655179322784</v>
      </c>
      <c r="Z58" s="35">
        <v>2.8050490883590466</v>
      </c>
      <c r="AA58" s="35">
        <v>3.305950711280305</v>
      </c>
    </row>
  </sheetData>
  <sheetProtection/>
  <mergeCells count="4">
    <mergeCell ref="B4:F4"/>
    <mergeCell ref="I4:M4"/>
    <mergeCell ref="P4:T4"/>
    <mergeCell ref="W4:A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Keukens</dc:creator>
  <cp:keywords/>
  <dc:description/>
  <cp:lastModifiedBy>GJ van Dalen</cp:lastModifiedBy>
  <dcterms:created xsi:type="dcterms:W3CDTF">2012-02-21T16:55:27Z</dcterms:created>
  <dcterms:modified xsi:type="dcterms:W3CDTF">2020-03-23T15:14:02Z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